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U269" i="18" l="1"/>
  <c r="T269" i="18"/>
  <c r="P153" i="18"/>
  <c r="AD59" i="52" l="1"/>
  <c r="Q146" i="52"/>
  <c r="J146" i="52"/>
  <c r="P146" i="52"/>
  <c r="W251" i="18"/>
  <c r="P25" i="18"/>
  <c r="N25" i="18" s="1"/>
  <c r="P32" i="18"/>
  <c r="N32" i="18" s="1"/>
  <c r="N51" i="18"/>
  <c r="O146" i="52"/>
  <c r="O160" i="52"/>
  <c r="N160" i="52"/>
  <c r="J160" i="52"/>
  <c r="O159" i="52"/>
  <c r="N159" i="52"/>
  <c r="J159" i="52"/>
  <c r="O158" i="52"/>
  <c r="N158" i="52"/>
  <c r="J158" i="52"/>
  <c r="O157" i="52"/>
  <c r="N157" i="52"/>
  <c r="P157" i="52" s="1"/>
  <c r="J157" i="52"/>
  <c r="O156" i="52"/>
  <c r="N156" i="52"/>
  <c r="J156" i="52"/>
  <c r="O155" i="52"/>
  <c r="N155" i="52"/>
  <c r="J155" i="52"/>
  <c r="O154" i="52"/>
  <c r="N154" i="52"/>
  <c r="J154" i="52"/>
  <c r="O153" i="52"/>
  <c r="N153" i="52"/>
  <c r="J153" i="52"/>
  <c r="O152" i="52"/>
  <c r="N152" i="52"/>
  <c r="J152" i="52"/>
  <c r="O151" i="52"/>
  <c r="N151" i="52"/>
  <c r="J151" i="52"/>
  <c r="O150" i="52"/>
  <c r="N150" i="52"/>
  <c r="J150" i="52"/>
  <c r="O149" i="52"/>
  <c r="N149" i="52"/>
  <c r="J149" i="52"/>
  <c r="O148" i="52"/>
  <c r="N148" i="52"/>
  <c r="J148" i="52"/>
  <c r="O147" i="52"/>
  <c r="N147" i="52"/>
  <c r="J147" i="52"/>
  <c r="N146" i="52"/>
  <c r="P150" i="52" l="1"/>
  <c r="P148" i="52"/>
  <c r="P160" i="52"/>
  <c r="P159" i="52"/>
  <c r="P158" i="52"/>
  <c r="P156" i="52"/>
  <c r="P155" i="52"/>
  <c r="P154" i="52"/>
  <c r="P153" i="52"/>
  <c r="P152" i="52"/>
  <c r="P151" i="52"/>
  <c r="P149" i="52"/>
  <c r="P147" i="52"/>
  <c r="P145" i="52"/>
  <c r="O145" i="52"/>
  <c r="J145" i="52"/>
  <c r="P144" i="52"/>
  <c r="J144" i="52"/>
  <c r="P143" i="52"/>
  <c r="J143" i="52"/>
  <c r="I25" i="60"/>
  <c r="W250" i="18" l="1"/>
  <c r="G136" i="18" l="1"/>
  <c r="J136" i="18" s="1"/>
  <c r="J138" i="18" s="1"/>
  <c r="I138" i="18" s="1"/>
  <c r="G130" i="18"/>
  <c r="J130" i="18" s="1"/>
  <c r="G129" i="18"/>
  <c r="J129" i="18" s="1"/>
  <c r="W249" i="18"/>
  <c r="J132" i="18" l="1"/>
  <c r="I132" i="18" s="1"/>
  <c r="O142" i="52"/>
  <c r="J142" i="52"/>
  <c r="N47" i="18"/>
  <c r="P22" i="18"/>
  <c r="N22" i="18" s="1"/>
  <c r="W248" i="18"/>
  <c r="P23" i="18"/>
  <c r="P31" i="18" l="1"/>
  <c r="N31" i="18" s="1"/>
  <c r="O140" i="52"/>
  <c r="J140" i="52"/>
  <c r="W247" i="18"/>
  <c r="P24" i="18" l="1"/>
  <c r="N24" i="18" s="1"/>
  <c r="P30" i="18"/>
  <c r="N30" i="18" s="1"/>
  <c r="N49" i="18"/>
  <c r="N40" i="18"/>
  <c r="W246" i="18" l="1"/>
  <c r="W245" i="18"/>
  <c r="O139" i="52"/>
  <c r="J139" i="52"/>
  <c r="AB73" i="52"/>
  <c r="AD73" i="52" l="1"/>
  <c r="AC73" i="52"/>
  <c r="W244" i="18"/>
  <c r="AB72" i="52" l="1"/>
  <c r="AD72" i="52" s="1"/>
  <c r="AB71" i="52"/>
  <c r="AD71" i="52" s="1"/>
  <c r="AC72" i="52" l="1"/>
  <c r="AC71" i="52"/>
  <c r="M41" i="52"/>
  <c r="O135" i="52" l="1"/>
  <c r="J135" i="52"/>
  <c r="AD57" i="52"/>
  <c r="AB69" i="52"/>
  <c r="AD69" i="52" s="1"/>
  <c r="AB70" i="52"/>
  <c r="AD70" i="52" s="1"/>
  <c r="AC70" i="52" l="1"/>
  <c r="AC69" i="52"/>
  <c r="W243" i="18" l="1"/>
  <c r="K113" i="18" l="1"/>
  <c r="D77" i="52" l="1"/>
  <c r="O132" i="52" l="1"/>
  <c r="W242" i="18"/>
  <c r="O131" i="52" l="1"/>
  <c r="H3" i="60"/>
  <c r="H4" i="60"/>
  <c r="H5" i="60"/>
  <c r="H2" i="60"/>
  <c r="G9" i="60"/>
  <c r="G7" i="60"/>
  <c r="O130" i="52" l="1"/>
  <c r="O129" i="52"/>
  <c r="W241" i="18"/>
  <c r="S199" i="18"/>
  <c r="W240" i="18"/>
  <c r="AL285" i="18" l="1"/>
  <c r="AM285" i="18" s="1"/>
  <c r="N129" i="52"/>
  <c r="AL284" i="18" l="1"/>
  <c r="O127" i="52"/>
  <c r="N29" i="60"/>
  <c r="AM284" i="18" l="1"/>
  <c r="AL283" i="18"/>
  <c r="J126" i="52"/>
  <c r="O126" i="52"/>
  <c r="W239" i="18"/>
  <c r="AM283" i="18" l="1"/>
  <c r="AL282" i="18"/>
  <c r="O125" i="52"/>
  <c r="J125" i="52"/>
  <c r="AM282" i="18" l="1"/>
  <c r="AL281" i="18"/>
  <c r="U253" i="18"/>
  <c r="W238" i="18"/>
  <c r="AM281" i="18" l="1"/>
  <c r="AL28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P139" i="52" s="1"/>
  <c r="N140" i="52"/>
  <c r="N141" i="52"/>
  <c r="N142" i="52"/>
  <c r="N143" i="52"/>
  <c r="N144" i="52"/>
  <c r="N145" i="52"/>
  <c r="J141" i="52"/>
  <c r="J138" i="52"/>
  <c r="J137" i="52"/>
  <c r="J136" i="52"/>
  <c r="J134" i="52"/>
  <c r="J133" i="52"/>
  <c r="J132" i="52"/>
  <c r="J131" i="52"/>
  <c r="J130" i="52"/>
  <c r="J129" i="52"/>
  <c r="J128" i="52"/>
  <c r="J127" i="52"/>
  <c r="W237" i="18"/>
  <c r="P140" i="52" l="1"/>
  <c r="P142" i="52"/>
  <c r="P132" i="52"/>
  <c r="P127" i="52"/>
  <c r="P138" i="52"/>
  <c r="P135" i="52"/>
  <c r="P131" i="52"/>
  <c r="P126" i="52"/>
  <c r="P136" i="52"/>
  <c r="P134" i="52"/>
  <c r="AM280" i="18"/>
  <c r="AL279" i="18"/>
  <c r="P128" i="52"/>
  <c r="P141" i="52"/>
  <c r="P137" i="52"/>
  <c r="P133" i="52"/>
  <c r="P125" i="52"/>
  <c r="O123" i="52"/>
  <c r="N123" i="52"/>
  <c r="P124" i="52" s="1"/>
  <c r="J123" i="52"/>
  <c r="AM279" i="18" l="1"/>
  <c r="AL278" i="18"/>
  <c r="W236" i="18"/>
  <c r="AL277" i="18" l="1"/>
  <c r="AM278" i="18"/>
  <c r="D73" i="58"/>
  <c r="AM277" i="18" l="1"/>
  <c r="AL276" i="18"/>
  <c r="O121" i="52"/>
  <c r="J121" i="52"/>
  <c r="W235" i="18"/>
  <c r="AM276" i="18" l="1"/>
  <c r="AL275" i="18"/>
  <c r="W234" i="18"/>
  <c r="J120" i="52"/>
  <c r="M108" i="18"/>
  <c r="AM275" i="18" l="1"/>
  <c r="AL274" i="18"/>
  <c r="AM274" i="18" l="1"/>
  <c r="AL273" i="18"/>
  <c r="O117" i="52"/>
  <c r="AM273" i="18" l="1"/>
  <c r="AL272" i="18"/>
  <c r="O116" i="52"/>
  <c r="N116" i="52"/>
  <c r="AL271" i="18" l="1"/>
  <c r="AM272" i="18"/>
  <c r="W233"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65" i="18" l="1"/>
  <c r="AM266" i="18"/>
  <c r="F307" i="15"/>
  <c r="D306" i="15"/>
  <c r="O161" i="52"/>
  <c r="N161" i="52"/>
  <c r="P161"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32" i="18"/>
  <c r="J108" i="52"/>
  <c r="AM263" i="18" l="1"/>
  <c r="AL262" i="18"/>
  <c r="D303" i="15"/>
  <c r="F304" i="15"/>
  <c r="W231" i="18"/>
  <c r="W230" i="18"/>
  <c r="AM262" i="18" l="1"/>
  <c r="AL261" i="18"/>
  <c r="F303" i="15"/>
  <c r="D302" i="15"/>
  <c r="O106" i="52"/>
  <c r="J106" i="52"/>
  <c r="D301" i="15" l="1"/>
  <c r="F302" i="15"/>
  <c r="J104" i="52"/>
  <c r="G123" i="18"/>
  <c r="E276" i="15"/>
  <c r="E277" i="15"/>
  <c r="E278" i="15"/>
  <c r="E279" i="15"/>
  <c r="E280" i="15"/>
  <c r="D300" i="15" l="1"/>
  <c r="F301" i="15"/>
  <c r="W229" i="18"/>
  <c r="D299" i="15" l="1"/>
  <c r="F300" i="15"/>
  <c r="C7" i="60"/>
  <c r="L3" i="60"/>
  <c r="D3" i="60"/>
  <c r="D4" i="60"/>
  <c r="D5" i="60"/>
  <c r="D6" i="60"/>
  <c r="D2" i="60"/>
  <c r="F8" i="60" l="1"/>
  <c r="H10" i="60"/>
  <c r="H14" i="60"/>
  <c r="H15" i="60"/>
  <c r="H8" i="60"/>
  <c r="H12" i="60"/>
  <c r="H7" i="60"/>
  <c r="H13" i="60"/>
  <c r="H11" i="60"/>
  <c r="H9" i="60"/>
  <c r="D8" i="60"/>
  <c r="F299" i="15"/>
  <c r="D298" i="15"/>
  <c r="D7" i="60"/>
  <c r="D16" i="60"/>
  <c r="F13" i="60"/>
  <c r="D13" i="60"/>
  <c r="F18" i="60"/>
  <c r="F10" i="60"/>
  <c r="D12" i="60"/>
  <c r="F17" i="60"/>
  <c r="F9" i="60"/>
  <c r="D17" i="60"/>
  <c r="D9" i="60"/>
  <c r="F14" i="60"/>
  <c r="D18" i="60"/>
  <c r="D14" i="60"/>
  <c r="D10" i="60"/>
  <c r="F19" i="60"/>
  <c r="F15" i="60"/>
  <c r="F11" i="60"/>
  <c r="D19" i="60"/>
  <c r="D15" i="60"/>
  <c r="D11" i="60"/>
  <c r="F7" i="60"/>
  <c r="F16" i="60"/>
  <c r="F12" i="60"/>
  <c r="W228" i="18"/>
  <c r="H21" i="60" l="1"/>
  <c r="I21" i="60" s="1"/>
  <c r="D297" i="15"/>
  <c r="F298" i="15"/>
  <c r="D21" i="60"/>
  <c r="D3" i="59"/>
  <c r="D4" i="59"/>
  <c r="D5" i="59"/>
  <c r="D6" i="59"/>
  <c r="D7" i="59"/>
  <c r="D8" i="59"/>
  <c r="D9" i="59"/>
  <c r="D10" i="59"/>
  <c r="D11" i="59"/>
  <c r="D12" i="59"/>
  <c r="D13" i="59"/>
  <c r="D14" i="59"/>
  <c r="D15" i="59"/>
  <c r="D16" i="59"/>
  <c r="D17" i="59"/>
  <c r="D18" i="59"/>
  <c r="D19" i="59"/>
  <c r="D20" i="59"/>
  <c r="D21" i="59"/>
  <c r="D2" i="59"/>
  <c r="AL260" i="18" l="1"/>
  <c r="AM261" i="18"/>
  <c r="D296" i="15"/>
  <c r="F297" i="15"/>
  <c r="AM260" i="18" l="1"/>
  <c r="AL259" i="18"/>
  <c r="D295" i="15"/>
  <c r="F296" i="15"/>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161"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85" i="18"/>
  <c r="J90" i="52"/>
  <c r="J95" i="52"/>
  <c r="W227"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39" i="18"/>
  <c r="O138" i="18"/>
  <c r="O137" i="18"/>
  <c r="AM254" i="18" l="1"/>
  <c r="AL253" i="18"/>
  <c r="D289" i="15"/>
  <c r="F290" i="15"/>
  <c r="P97" i="52"/>
  <c r="P98" i="52"/>
  <c r="P95" i="52"/>
  <c r="P96" i="52"/>
  <c r="P94" i="52"/>
  <c r="P93" i="52"/>
  <c r="O141" i="18"/>
  <c r="N91" i="52"/>
  <c r="P92" i="52" s="1"/>
  <c r="AL252" i="18" l="1"/>
  <c r="AM253" i="18"/>
  <c r="F289" i="15"/>
  <c r="D288" i="15"/>
  <c r="R235" i="18"/>
  <c r="W226" i="18"/>
  <c r="W225" i="18"/>
  <c r="W224" i="18"/>
  <c r="M48" i="52"/>
  <c r="M47" i="52"/>
  <c r="N38" i="52"/>
  <c r="N37" i="52"/>
  <c r="M49" i="52"/>
  <c r="N50" i="52" s="1"/>
  <c r="AM252" i="18" l="1"/>
  <c r="AL251" i="18"/>
  <c r="D287" i="15"/>
  <c r="F288" i="15"/>
  <c r="N49" i="52"/>
  <c r="W223" i="18"/>
  <c r="AM251" i="18" l="1"/>
  <c r="AL250" i="18"/>
  <c r="F287" i="15"/>
  <c r="D286" i="15"/>
  <c r="J123" i="18"/>
  <c r="J125" i="18" l="1"/>
  <c r="I125" i="18" s="1"/>
  <c r="AL249" i="18"/>
  <c r="AM250" i="18"/>
  <c r="D285" i="15"/>
  <c r="F286" i="15"/>
  <c r="W222" i="18"/>
  <c r="AM249" i="18" l="1"/>
  <c r="AL248" i="18"/>
  <c r="D284" i="15"/>
  <c r="F285" i="15"/>
  <c r="O90" i="52"/>
  <c r="O91" i="52"/>
  <c r="J91" i="52"/>
  <c r="AL247" i="18" l="1"/>
  <c r="AM248" i="18"/>
  <c r="D283" i="15"/>
  <c r="F284" i="15"/>
  <c r="N87" i="52"/>
  <c r="J87" i="52"/>
  <c r="O87" i="52"/>
  <c r="D347" i="20"/>
  <c r="D346" i="20"/>
  <c r="L2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1" i="18"/>
  <c r="AM247" i="18" l="1"/>
  <c r="AL246" i="18"/>
  <c r="F283" i="15"/>
  <c r="D282" i="15"/>
  <c r="G32" i="57"/>
  <c r="H32" i="57"/>
  <c r="D32" i="57"/>
  <c r="I32" i="57" s="1"/>
  <c r="D345" i="20"/>
  <c r="W220" i="18"/>
  <c r="W219" i="18"/>
  <c r="AL245" i="18" l="1"/>
  <c r="AM246" i="18"/>
  <c r="D281" i="15"/>
  <c r="F282" i="15"/>
  <c r="W155" i="18"/>
  <c r="W154"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18" i="18"/>
  <c r="D343" i="20"/>
  <c r="F279" i="15" l="1"/>
  <c r="D278" i="15"/>
  <c r="W217" i="18"/>
  <c r="D342" i="20"/>
  <c r="J83" i="52"/>
  <c r="O83" i="52"/>
  <c r="W216" i="18"/>
  <c r="W215" i="18"/>
  <c r="F44" i="14"/>
  <c r="F45" i="14"/>
  <c r="F46" i="14"/>
  <c r="F47" i="14"/>
  <c r="F48" i="14"/>
  <c r="F49" i="14"/>
  <c r="F50" i="14"/>
  <c r="D341" i="20"/>
  <c r="F278" i="15" l="1"/>
  <c r="D277" i="15"/>
  <c r="AJ286" i="18"/>
  <c r="D276" i="15" l="1"/>
  <c r="F276" i="15" s="1"/>
  <c r="F277" i="15"/>
  <c r="W214" i="18"/>
  <c r="D340" i="20" l="1"/>
  <c r="W213" i="18"/>
  <c r="H337" i="20"/>
  <c r="H338" i="20"/>
  <c r="H339" i="20"/>
  <c r="H340" i="20"/>
  <c r="H341" i="20"/>
  <c r="H368" i="20"/>
  <c r="H369" i="20"/>
  <c r="D339" i="20"/>
  <c r="O71" i="18" l="1"/>
  <c r="O70" i="18"/>
  <c r="O69" i="18"/>
  <c r="B371" i="20"/>
  <c r="D332" i="20"/>
  <c r="D333" i="20"/>
  <c r="D334" i="20"/>
  <c r="D335" i="20"/>
  <c r="D336" i="20"/>
  <c r="D337" i="20"/>
  <c r="D338" i="20"/>
  <c r="D369" i="20"/>
  <c r="W212" i="18" l="1"/>
  <c r="D80" i="57"/>
  <c r="AD46" i="52" l="1"/>
  <c r="AE46" i="52"/>
  <c r="G46" i="10"/>
  <c r="D331" i="20" l="1"/>
  <c r="D330" i="20" l="1"/>
  <c r="W211" i="18" l="1"/>
  <c r="W210"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09" i="18" l="1"/>
  <c r="W208" i="18"/>
  <c r="Z40" i="52" l="1"/>
  <c r="Z39" i="52"/>
  <c r="Z38" i="52"/>
  <c r="AD38" i="52"/>
  <c r="AD39" i="52"/>
  <c r="AD40" i="52"/>
  <c r="AE40" i="52"/>
  <c r="AE39" i="52"/>
  <c r="AE38" i="52"/>
  <c r="R170"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7" i="18"/>
  <c r="W206" i="18"/>
  <c r="L38" i="18"/>
  <c r="N36" i="52"/>
  <c r="N35" i="52"/>
  <c r="Q42" i="52"/>
  <c r="AD37" i="52"/>
  <c r="AD36" i="52"/>
  <c r="AD35" i="52"/>
  <c r="AD34" i="52"/>
  <c r="AD33" i="52"/>
  <c r="Z37" i="52"/>
  <c r="Z36" i="52"/>
  <c r="Z35" i="52"/>
  <c r="Z34" i="52"/>
  <c r="Z33" i="52"/>
  <c r="AE37" i="52"/>
  <c r="AE36" i="52"/>
  <c r="AE35" i="52"/>
  <c r="AE34" i="52"/>
  <c r="AE33" i="52"/>
  <c r="W205" i="18" l="1"/>
  <c r="W204"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3" i="18" l="1"/>
  <c r="W202" i="18"/>
  <c r="AD31" i="52"/>
  <c r="AD30" i="52"/>
  <c r="Z31" i="52"/>
  <c r="Z30" i="52"/>
  <c r="AE31" i="52"/>
  <c r="AE30" i="52"/>
  <c r="AD29" i="52"/>
  <c r="Z29" i="52"/>
  <c r="AE29" i="52"/>
  <c r="AD28" i="52"/>
  <c r="Z28" i="52"/>
  <c r="AE28" i="52"/>
  <c r="N32" i="52"/>
  <c r="N31" i="52"/>
  <c r="W201" i="18" l="1"/>
  <c r="W200" i="18"/>
  <c r="N30" i="52"/>
  <c r="N29" i="52"/>
  <c r="AD27" i="52"/>
  <c r="Z27" i="52"/>
  <c r="AE27" i="52"/>
  <c r="W199" i="18" l="1"/>
  <c r="W198" i="18"/>
  <c r="N28" i="52"/>
  <c r="N27" i="52"/>
  <c r="AD26" i="52" l="1"/>
  <c r="AE26" i="52"/>
  <c r="AL242" i="18" l="1"/>
  <c r="D313" i="20"/>
  <c r="AL241" i="18" l="1"/>
  <c r="AM242" i="18"/>
  <c r="L114" i="18"/>
  <c r="L111" i="18" s="1"/>
  <c r="N111" i="18" s="1"/>
  <c r="L110" i="18" l="1"/>
  <c r="M114" i="18"/>
  <c r="AM241" i="18"/>
  <c r="AL240" i="18"/>
  <c r="L106" i="18"/>
  <c r="W197" i="18"/>
  <c r="W196" i="18"/>
  <c r="N24" i="52"/>
  <c r="N26" i="52"/>
  <c r="N25" i="52"/>
  <c r="AL239" i="18" l="1"/>
  <c r="AM240" i="18"/>
  <c r="L108"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195" i="18"/>
  <c r="W194" i="18"/>
  <c r="N23" i="52"/>
  <c r="N22" i="52"/>
  <c r="Z24" i="52"/>
  <c r="AD24" i="52"/>
  <c r="AE24" i="52"/>
  <c r="I368" i="20" l="1"/>
  <c r="G367" i="20"/>
  <c r="J368" i="20"/>
  <c r="K368" i="20"/>
  <c r="AL237" i="18"/>
  <c r="AM238" i="18"/>
  <c r="W193" i="18"/>
  <c r="W192"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91" i="18"/>
  <c r="W190"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09" i="18"/>
  <c r="F109" i="18" s="1"/>
  <c r="G107" i="18"/>
  <c r="F107" i="18" s="1"/>
  <c r="G106" i="18"/>
  <c r="F106" i="18" s="1"/>
  <c r="N23"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89" i="18"/>
  <c r="W188" i="18"/>
  <c r="AD17" i="52"/>
  <c r="Z17" i="52"/>
  <c r="AE17" i="52"/>
  <c r="AD16" i="52"/>
  <c r="Z16" i="52"/>
  <c r="AE16" i="52"/>
  <c r="N17" i="52"/>
  <c r="N16" i="52"/>
  <c r="AL170" i="18" l="1"/>
  <c r="AM171" i="18"/>
  <c r="I356" i="20"/>
  <c r="G355" i="20"/>
  <c r="J356" i="20"/>
  <c r="K356" i="20"/>
  <c r="L107" i="18"/>
  <c r="L109" i="18"/>
  <c r="AL169" i="18" l="1"/>
  <c r="AL168" i="18" s="1"/>
  <c r="AM170" i="18"/>
  <c r="J355" i="20"/>
  <c r="I355" i="20"/>
  <c r="G354" i="20"/>
  <c r="K355" i="20"/>
  <c r="W187" i="18"/>
  <c r="W186" i="18"/>
  <c r="D303" i="20"/>
  <c r="D302" i="20"/>
  <c r="W185" i="18"/>
  <c r="AL167" i="18" l="1"/>
  <c r="AM168" i="18"/>
  <c r="AM169" i="18"/>
  <c r="K354" i="20"/>
  <c r="J354" i="20"/>
  <c r="G353" i="20"/>
  <c r="I354" i="20"/>
  <c r="D301" i="20"/>
  <c r="D300" i="20"/>
  <c r="D299" i="20"/>
  <c r="AM167" i="18" l="1"/>
  <c r="AL166" i="18"/>
  <c r="I353" i="20"/>
  <c r="G352" i="20"/>
  <c r="J353" i="20"/>
  <c r="K353" i="20"/>
  <c r="Z15" i="52"/>
  <c r="AD15" i="52"/>
  <c r="AE15" i="52"/>
  <c r="P33" i="18"/>
  <c r="P29" i="18"/>
  <c r="P26"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3" i="18"/>
  <c r="AL163" i="18" l="1"/>
  <c r="AM164" i="18"/>
  <c r="I350" i="20"/>
  <c r="J350" i="20"/>
  <c r="K350" i="20"/>
  <c r="G349" i="20"/>
  <c r="AD14" i="52"/>
  <c r="AE14" i="52"/>
  <c r="AD13" i="52"/>
  <c r="AE13" i="52"/>
  <c r="Z14" i="52"/>
  <c r="D296" i="20"/>
  <c r="D295" i="20"/>
  <c r="AM163" i="18" l="1"/>
  <c r="AL162" i="18"/>
  <c r="K349" i="20"/>
  <c r="I349" i="20"/>
  <c r="J349" i="20"/>
  <c r="G348" i="20"/>
  <c r="W182" i="18"/>
  <c r="W181"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80" i="18"/>
  <c r="W179" i="18"/>
  <c r="AM161" i="18" l="1"/>
  <c r="AL160" i="18"/>
  <c r="G346" i="20"/>
  <c r="J347" i="20"/>
  <c r="I347" i="20"/>
  <c r="K347" i="20"/>
  <c r="D293" i="20"/>
  <c r="AL159" i="18" l="1"/>
  <c r="AM160" i="18"/>
  <c r="K346" i="20"/>
  <c r="G345" i="20"/>
  <c r="J346" i="20"/>
  <c r="I346" i="20"/>
  <c r="W178" i="18"/>
  <c r="AM159" i="18" l="1"/>
  <c r="AL158" i="18"/>
  <c r="K345" i="20"/>
  <c r="G344" i="20"/>
  <c r="J345" i="20"/>
  <c r="I345" i="20"/>
  <c r="D292" i="20"/>
  <c r="C8" i="36"/>
  <c r="W177" i="18"/>
  <c r="N5" i="52"/>
  <c r="AM158" i="18" l="1"/>
  <c r="AL157" i="18"/>
  <c r="I344" i="20"/>
  <c r="K344" i="20"/>
  <c r="G343" i="20"/>
  <c r="J344" i="20"/>
  <c r="N46" i="18"/>
  <c r="D291" i="20"/>
  <c r="M110" i="18" l="1"/>
  <c r="AL156" i="18"/>
  <c r="AM157" i="18"/>
  <c r="G342" i="20"/>
  <c r="J343" i="20"/>
  <c r="I343" i="20"/>
  <c r="K343" i="20"/>
  <c r="D290" i="20"/>
  <c r="AL155" i="18" l="1"/>
  <c r="AM156" i="18"/>
  <c r="I342" i="20"/>
  <c r="K342" i="20"/>
  <c r="J342" i="20"/>
  <c r="G341" i="20"/>
  <c r="D289" i="20"/>
  <c r="AL154" i="18" l="1"/>
  <c r="AM155" i="18"/>
  <c r="K341" i="20"/>
  <c r="G340" i="20"/>
  <c r="I341" i="20"/>
  <c r="J341" i="20"/>
  <c r="N29" i="18"/>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8"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7" i="18"/>
  <c r="S147"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2" i="18"/>
  <c r="W175" i="18"/>
  <c r="D278" i="20"/>
  <c r="AL140" i="18" l="1"/>
  <c r="AM141" i="18"/>
  <c r="J327" i="20"/>
  <c r="K327" i="20"/>
  <c r="G326" i="20"/>
  <c r="I327" i="20"/>
  <c r="W153"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6"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4" i="18"/>
  <c r="I319" i="20" l="1"/>
  <c r="J319" i="20"/>
  <c r="G318" i="20"/>
  <c r="K319" i="20"/>
  <c r="AL134" i="18"/>
  <c r="AM135" i="18"/>
  <c r="D57" i="54"/>
  <c r="J318" i="20" l="1"/>
  <c r="K318" i="20"/>
  <c r="G317" i="20"/>
  <c r="I318" i="20"/>
  <c r="AL133" i="18"/>
  <c r="AM134" i="18"/>
  <c r="D3" i="54"/>
  <c r="I3" i="54" s="1"/>
  <c r="D4" i="54"/>
  <c r="I4" i="54" s="1"/>
  <c r="D5" i="54"/>
  <c r="I5" i="54" s="1"/>
  <c r="D6" i="54"/>
  <c r="D7" i="54"/>
  <c r="I7" i="54" s="1"/>
  <c r="D8" i="54"/>
  <c r="I8" i="54" s="1"/>
  <c r="D9" i="54"/>
  <c r="I9" i="54" s="1"/>
  <c r="D10" i="54"/>
  <c r="I10" i="54" s="1"/>
  <c r="D11" i="54"/>
  <c r="I11" i="54" s="1"/>
  <c r="D12" i="54"/>
  <c r="I12" i="54" s="1"/>
  <c r="D13" i="54"/>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I13" i="54"/>
  <c r="H12" i="54"/>
  <c r="G12" i="54"/>
  <c r="H11" i="54"/>
  <c r="G11" i="54"/>
  <c r="H10" i="54"/>
  <c r="G10" i="54"/>
  <c r="H9" i="54"/>
  <c r="G9" i="54"/>
  <c r="H8" i="54"/>
  <c r="G8" i="54"/>
  <c r="H7" i="54"/>
  <c r="G7" i="54"/>
  <c r="H6" i="54"/>
  <c r="G6" i="54"/>
  <c r="I6" i="54"/>
  <c r="H5" i="54"/>
  <c r="G5" i="54"/>
  <c r="H4" i="54"/>
  <c r="G4" i="54"/>
  <c r="H3" i="54"/>
  <c r="G3" i="54"/>
  <c r="K317" i="20" l="1"/>
  <c r="J317" i="20"/>
  <c r="I317" i="20"/>
  <c r="G316" i="20"/>
  <c r="AL132" i="18"/>
  <c r="AM133" i="18"/>
  <c r="N53" i="52"/>
  <c r="AD3" i="52"/>
  <c r="AD2" i="52"/>
  <c r="J316" i="20" l="1"/>
  <c r="I316" i="20"/>
  <c r="G315" i="20"/>
  <c r="K316" i="20"/>
  <c r="AL131" i="18"/>
  <c r="AM132" i="18"/>
  <c r="N121" i="18"/>
  <c r="N122" i="18"/>
  <c r="N123" i="18"/>
  <c r="N124" i="18"/>
  <c r="N125" i="18"/>
  <c r="N126" i="18"/>
  <c r="N127" i="18"/>
  <c r="N128" i="18"/>
  <c r="N12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3" i="18"/>
  <c r="AM124" i="18" l="1"/>
  <c r="AL123" i="18"/>
  <c r="AM123" i="18" l="1"/>
  <c r="AL122" i="18"/>
  <c r="AL121" i="18" l="1"/>
  <c r="AM122" i="18"/>
  <c r="W167" i="18"/>
  <c r="W168" i="18"/>
  <c r="W169" i="18"/>
  <c r="W170" i="18"/>
  <c r="W171" i="18"/>
  <c r="W172" i="18"/>
  <c r="W184" i="18"/>
  <c r="W166" i="18"/>
  <c r="AM121" i="18" l="1"/>
  <c r="AL120" i="18"/>
  <c r="N53" i="18"/>
  <c r="AM120" i="18" l="1"/>
  <c r="AL119" i="18"/>
  <c r="AM119" i="18" l="1"/>
  <c r="AL118" i="18"/>
  <c r="T150" i="18"/>
  <c r="S65" i="18"/>
  <c r="S66" i="18" s="1"/>
  <c r="S67" i="18" s="1"/>
  <c r="R171" i="18"/>
  <c r="R169" i="18"/>
  <c r="D57" i="51"/>
  <c r="AL117" i="18" l="1"/>
  <c r="AM118" i="18"/>
  <c r="S68" i="18"/>
  <c r="S69" i="18" s="1"/>
  <c r="AM117" i="18" l="1"/>
  <c r="AL116" i="18"/>
  <c r="S70" i="18"/>
  <c r="S71" i="18" s="1"/>
  <c r="S72" i="18" s="1"/>
  <c r="N33" i="18"/>
  <c r="Q85" i="18" s="1"/>
  <c r="R168"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3" i="18" l="1"/>
  <c r="S74" i="18" s="1"/>
  <c r="S75" i="18" s="1"/>
  <c r="AL113" i="18"/>
  <c r="AM114" i="18"/>
  <c r="S20" i="18"/>
  <c r="S21" i="18" s="1"/>
  <c r="S76" i="18" l="1"/>
  <c r="AL112" i="18"/>
  <c r="AM113" i="18"/>
  <c r="N50" i="18"/>
  <c r="M109" i="18" s="1"/>
  <c r="S77" i="18" l="1"/>
  <c r="S78" i="18" s="1"/>
  <c r="N109" i="18"/>
  <c r="AM112" i="18"/>
  <c r="AL111" i="18"/>
  <c r="D108" i="50"/>
  <c r="S79" i="18" l="1"/>
  <c r="S80" i="18" s="1"/>
  <c r="S81" i="18" s="1"/>
  <c r="S82" i="18" s="1"/>
  <c r="S83" i="18" s="1"/>
  <c r="AL110" i="18"/>
  <c r="AM111" i="18"/>
  <c r="N48" i="18"/>
  <c r="AL109" i="18" l="1"/>
  <c r="AM110" i="18"/>
  <c r="N108" i="18" l="1"/>
  <c r="AL108" i="18"/>
  <c r="AM109" i="18"/>
  <c r="N22" i="33"/>
  <c r="R22" i="33" s="1"/>
  <c r="E22" i="33" l="1"/>
  <c r="AL107" i="18"/>
  <c r="AM108" i="18"/>
  <c r="C22" i="33"/>
  <c r="J22" i="33"/>
  <c r="F22" i="33"/>
  <c r="B22" i="33"/>
  <c r="I22" i="33"/>
  <c r="L22" i="33"/>
  <c r="H22" i="33"/>
  <c r="D22" i="33"/>
  <c r="K22" i="33"/>
  <c r="G22" i="33"/>
  <c r="AM107" i="18" l="1"/>
  <c r="AL106" i="18"/>
  <c r="AL105" i="18" l="1"/>
  <c r="AM106" i="18"/>
  <c r="S22" i="18"/>
  <c r="N110" i="18" l="1"/>
  <c r="AL104" i="18"/>
  <c r="AM105" i="18"/>
  <c r="AL220" i="18"/>
  <c r="AM221" i="18"/>
  <c r="AL103" i="18" l="1"/>
  <c r="AM104" i="18"/>
  <c r="AL219" i="18"/>
  <c r="AM220" i="18"/>
  <c r="AL102" i="18" l="1"/>
  <c r="AM103" i="18"/>
  <c r="AL218" i="18"/>
  <c r="AM219" i="18"/>
  <c r="S23" i="18"/>
  <c r="S24" i="18" s="1"/>
  <c r="S25" i="18" s="1"/>
  <c r="S26" i="18" s="1"/>
  <c r="N78" i="18"/>
  <c r="AL101" i="18" l="1"/>
  <c r="AM102" i="18"/>
  <c r="AL217" i="18"/>
  <c r="AM218" i="18"/>
  <c r="S27" i="18"/>
  <c r="S28" i="18" s="1"/>
  <c r="S29" i="18" s="1"/>
  <c r="S30" i="18" s="1"/>
  <c r="S31" i="18" s="1"/>
  <c r="S32"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33" i="18" l="1"/>
  <c r="S34" i="18" s="1"/>
  <c r="S35" i="18" s="1"/>
  <c r="AM101" i="18"/>
  <c r="AL100" i="18"/>
  <c r="AM217" i="18"/>
  <c r="AL216" i="18"/>
  <c r="D73" i="48"/>
  <c r="N26" i="18"/>
  <c r="M107" i="18" l="1"/>
  <c r="N107" i="18" s="1"/>
  <c r="AL99" i="18"/>
  <c r="AM100" i="18"/>
  <c r="AL215" i="18"/>
  <c r="AM216" i="18"/>
  <c r="S36" i="18" l="1"/>
  <c r="S37" i="18" s="1"/>
  <c r="S38" i="18" s="1"/>
  <c r="S39" i="18" s="1"/>
  <c r="S40" i="18" s="1"/>
  <c r="AM99" i="18"/>
  <c r="AL98" i="18"/>
  <c r="AL214" i="18"/>
  <c r="AM215" i="18"/>
  <c r="AL97" i="18" l="1"/>
  <c r="AM98" i="18"/>
  <c r="AL213" i="18"/>
  <c r="AM214" i="18"/>
  <c r="S41" i="18" l="1"/>
  <c r="AM97" i="18"/>
  <c r="AL96" i="18"/>
  <c r="AL212" i="18"/>
  <c r="AM213" i="18"/>
  <c r="N23" i="33"/>
  <c r="D23" i="33" s="1"/>
  <c r="S42" i="18" l="1"/>
  <c r="S43" i="18" s="1"/>
  <c r="S44" i="18" s="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45" i="18" l="1"/>
  <c r="S46" i="18" s="1"/>
  <c r="S47" i="18" s="1"/>
  <c r="F26" i="49"/>
  <c r="G26" i="49"/>
  <c r="AL94" i="18"/>
  <c r="AM95" i="18"/>
  <c r="AL210" i="18"/>
  <c r="AM211" i="18"/>
  <c r="N21" i="18"/>
  <c r="Q60" i="18" s="1"/>
  <c r="S48" i="18" l="1"/>
  <c r="S49" i="18" s="1"/>
  <c r="S50" i="18" s="1"/>
  <c r="S51" i="18" s="1"/>
  <c r="R167" i="18"/>
  <c r="AJ290" i="18"/>
  <c r="AJ291" i="18" s="1"/>
  <c r="AM94" i="18"/>
  <c r="AL93" i="18"/>
  <c r="AL209" i="18"/>
  <c r="AM210" i="18"/>
  <c r="S52" i="18" l="1"/>
  <c r="S53" i="18" s="1"/>
  <c r="S54" i="18" s="1"/>
  <c r="S55" i="18" s="1"/>
  <c r="S56" i="18" s="1"/>
  <c r="S57" i="18" s="1"/>
  <c r="S58" i="18" s="1"/>
  <c r="AL92" i="18"/>
  <c r="AM93" i="18"/>
  <c r="AL208" i="18"/>
  <c r="AM209" i="18"/>
  <c r="S95" i="18"/>
  <c r="S96" i="18" s="1"/>
  <c r="AL91" i="18" l="1"/>
  <c r="AM92" i="18"/>
  <c r="AM208" i="18"/>
  <c r="AL207" i="18"/>
  <c r="AL90" i="18" l="1"/>
  <c r="AM91" i="18"/>
  <c r="AL206" i="18"/>
  <c r="AM207" i="18"/>
  <c r="AM90" i="18" l="1"/>
  <c r="AL89" i="18"/>
  <c r="AM206" i="18"/>
  <c r="AL205" i="18"/>
  <c r="AL88" i="18" l="1"/>
  <c r="AM89" i="18"/>
  <c r="AM205" i="18"/>
  <c r="AL204" i="18"/>
  <c r="B8" i="36"/>
  <c r="AM88" i="18" l="1"/>
  <c r="AL87" i="18"/>
  <c r="AL203" i="18"/>
  <c r="AM204" i="18"/>
  <c r="B10" i="36"/>
  <c r="AL86" i="18" l="1"/>
  <c r="AM87" i="18"/>
  <c r="AL202" i="18"/>
  <c r="AM203" i="18"/>
  <c r="S97" i="18"/>
  <c r="S98" i="18" s="1"/>
  <c r="S99" i="18" s="1"/>
  <c r="AL85" i="18" l="1"/>
  <c r="AM86" i="18"/>
  <c r="S100" i="18"/>
  <c r="S101" i="18" s="1"/>
  <c r="AL201" i="18"/>
  <c r="AM202" i="18"/>
  <c r="N25" i="33"/>
  <c r="N24" i="33"/>
  <c r="N21" i="33"/>
  <c r="N20" i="33"/>
  <c r="N19" i="33"/>
  <c r="N18" i="33"/>
  <c r="L18" i="33" s="1"/>
  <c r="N17" i="33"/>
  <c r="N9" i="33"/>
  <c r="N3" i="33"/>
  <c r="N4" i="33"/>
  <c r="AL84" i="18" l="1"/>
  <c r="AM85" i="18"/>
  <c r="AM201" i="18"/>
  <c r="AL200" i="18"/>
  <c r="S102" i="18"/>
  <c r="S103" i="18" s="1"/>
  <c r="S10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5" i="18" l="1"/>
  <c r="AL77" i="18"/>
  <c r="AM78" i="18"/>
  <c r="G307" i="20" l="1"/>
  <c r="K308" i="20"/>
  <c r="J308" i="20"/>
  <c r="I308" i="20"/>
  <c r="S106" i="18"/>
  <c r="AL76" i="18"/>
  <c r="AM77" i="18"/>
  <c r="S107" i="18" l="1"/>
  <c r="S108" i="18" s="1"/>
  <c r="S109" i="18" s="1"/>
  <c r="S110" i="18" s="1"/>
  <c r="S111" i="18" s="1"/>
  <c r="G306" i="20"/>
  <c r="J307" i="20"/>
  <c r="I307" i="20"/>
  <c r="K307" i="20"/>
  <c r="AL75" i="18"/>
  <c r="AM76" i="18"/>
  <c r="N52" i="18"/>
  <c r="Q142" i="18" l="1"/>
  <c r="R166" i="18"/>
  <c r="R179" i="18" s="1"/>
  <c r="M106" i="18"/>
  <c r="N106" i="18" s="1"/>
  <c r="N114" i="18" s="1"/>
  <c r="AJ186" i="18"/>
  <c r="AJ187" i="18" s="1"/>
  <c r="S112" i="18"/>
  <c r="G305" i="20"/>
  <c r="I306" i="20"/>
  <c r="K306" i="20"/>
  <c r="J306" i="20"/>
  <c r="AL74" i="18"/>
  <c r="AM75" i="18"/>
  <c r="T256" i="18" l="1"/>
  <c r="V259" i="18" s="1"/>
  <c r="G304" i="20"/>
  <c r="I305" i="20"/>
  <c r="K305" i="20"/>
  <c r="J305" i="20"/>
  <c r="AL73" i="18"/>
  <c r="AM74" i="18"/>
  <c r="R89" i="18"/>
  <c r="V58" i="18" l="1"/>
  <c r="V83" i="18"/>
  <c r="W58" i="18"/>
  <c r="X58" i="18"/>
  <c r="V56" i="18"/>
  <c r="W56" i="18" s="1"/>
  <c r="V57" i="18"/>
  <c r="V55" i="18"/>
  <c r="W55" i="18" s="1"/>
  <c r="V82" i="18"/>
  <c r="V81" i="18"/>
  <c r="W81" i="18" s="1"/>
  <c r="V54" i="18"/>
  <c r="V53" i="18"/>
  <c r="X53" i="18" s="1"/>
  <c r="V80" i="18"/>
  <c r="V52" i="18"/>
  <c r="X52" i="18" s="1"/>
  <c r="V79" i="18"/>
  <c r="S155" i="18"/>
  <c r="U155" i="18" s="1"/>
  <c r="V155" i="18" s="1"/>
  <c r="V50" i="18"/>
  <c r="W50" i="18" s="1"/>
  <c r="V51" i="18"/>
  <c r="V78" i="18"/>
  <c r="W78" i="18" s="1"/>
  <c r="V49" i="18"/>
  <c r="V48" i="18"/>
  <c r="X48" i="18" s="1"/>
  <c r="V93" i="18"/>
  <c r="V47" i="18"/>
  <c r="X47" i="18" s="1"/>
  <c r="V77" i="18"/>
  <c r="V76" i="18"/>
  <c r="V75" i="18"/>
  <c r="W75" i="18" s="1"/>
  <c r="V46" i="18"/>
  <c r="V45" i="18"/>
  <c r="V44" i="18"/>
  <c r="V43" i="18"/>
  <c r="V42" i="18"/>
  <c r="S113" i="18"/>
  <c r="V41" i="18"/>
  <c r="V40" i="18"/>
  <c r="W40" i="18" s="1"/>
  <c r="V74" i="18"/>
  <c r="V39" i="18"/>
  <c r="W39" i="18" s="1"/>
  <c r="V73" i="18"/>
  <c r="V72" i="18"/>
  <c r="V38" i="18"/>
  <c r="V37" i="18"/>
  <c r="V36" i="18"/>
  <c r="V35" i="18"/>
  <c r="V33" i="18"/>
  <c r="W33" i="18" s="1"/>
  <c r="V34" i="18"/>
  <c r="V59" i="18"/>
  <c r="V32" i="18"/>
  <c r="X32" i="18" s="1"/>
  <c r="G303" i="20"/>
  <c r="K304" i="20"/>
  <c r="I304" i="20"/>
  <c r="J304" i="20"/>
  <c r="V269" i="18"/>
  <c r="V31" i="18"/>
  <c r="W31" i="18" s="1"/>
  <c r="V30" i="18"/>
  <c r="W30" i="18" s="1"/>
  <c r="V71" i="18"/>
  <c r="V111" i="18"/>
  <c r="V141" i="18"/>
  <c r="V109" i="18"/>
  <c r="W109" i="18" s="1"/>
  <c r="V110" i="18"/>
  <c r="V29" i="18"/>
  <c r="W29" i="18" s="1"/>
  <c r="V70" i="18"/>
  <c r="V107" i="18"/>
  <c r="W107" i="18" s="1"/>
  <c r="V108" i="18"/>
  <c r="V105" i="18"/>
  <c r="W105" i="18" s="1"/>
  <c r="V106" i="18"/>
  <c r="V104" i="18"/>
  <c r="W104" i="18" s="1"/>
  <c r="V28" i="18"/>
  <c r="V27" i="18"/>
  <c r="W27" i="18" s="1"/>
  <c r="V69" i="18"/>
  <c r="V26" i="18"/>
  <c r="X26" i="18" s="1"/>
  <c r="V68" i="18"/>
  <c r="V84" i="18"/>
  <c r="V67" i="18"/>
  <c r="V103" i="18"/>
  <c r="V66" i="18"/>
  <c r="V102" i="18"/>
  <c r="V25" i="18"/>
  <c r="V101" i="18"/>
  <c r="V24" i="18"/>
  <c r="V22" i="18"/>
  <c r="V23" i="18"/>
  <c r="W23" i="18" s="1"/>
  <c r="V100" i="18"/>
  <c r="V99" i="18"/>
  <c r="V21" i="18"/>
  <c r="V98" i="18"/>
  <c r="V96" i="18"/>
  <c r="V97" i="18"/>
  <c r="V20" i="18"/>
  <c r="V94" i="18"/>
  <c r="V95" i="18"/>
  <c r="AL72" i="18"/>
  <c r="AM73" i="18"/>
  <c r="W83" i="18" l="1"/>
  <c r="X83" i="18"/>
  <c r="X56" i="18"/>
  <c r="W57" i="18"/>
  <c r="X57" i="18"/>
  <c r="X55" i="18"/>
  <c r="X82" i="18"/>
  <c r="W82" i="18"/>
  <c r="X81" i="18"/>
  <c r="X54" i="18"/>
  <c r="W54" i="18"/>
  <c r="W53" i="18"/>
  <c r="W80" i="18"/>
  <c r="X80" i="18"/>
  <c r="W52" i="18"/>
  <c r="W79" i="18"/>
  <c r="X79" i="18"/>
  <c r="X50" i="18"/>
  <c r="W51" i="18"/>
  <c r="X51" i="18"/>
  <c r="X78" i="18"/>
  <c r="W49" i="18"/>
  <c r="X49" i="18"/>
  <c r="W48" i="18"/>
  <c r="W47" i="18"/>
  <c r="W77" i="18"/>
  <c r="X77" i="18"/>
  <c r="W76" i="18"/>
  <c r="X76" i="18"/>
  <c r="X75" i="18"/>
  <c r="W46" i="18"/>
  <c r="X46" i="18"/>
  <c r="W45" i="18"/>
  <c r="X45" i="18"/>
  <c r="X42" i="18"/>
  <c r="W42" i="18"/>
  <c r="W43" i="18"/>
  <c r="X43" i="18"/>
  <c r="X44" i="18"/>
  <c r="W44" i="18"/>
  <c r="V112" i="18"/>
  <c r="X112" i="18" s="1"/>
  <c r="W41" i="18"/>
  <c r="X41" i="18"/>
  <c r="X40" i="18"/>
  <c r="W74" i="18"/>
  <c r="X74" i="18"/>
  <c r="X39" i="18"/>
  <c r="W72" i="18"/>
  <c r="X72" i="18"/>
  <c r="W73" i="18"/>
  <c r="X73" i="18"/>
  <c r="X38" i="18"/>
  <c r="W38" i="18"/>
  <c r="X36" i="18"/>
  <c r="W36" i="18"/>
  <c r="W37" i="18"/>
  <c r="X37" i="18"/>
  <c r="W35" i="18"/>
  <c r="X35" i="18"/>
  <c r="X33" i="18"/>
  <c r="W59" i="18"/>
  <c r="X59" i="18"/>
  <c r="W34" i="18"/>
  <c r="X34" i="18"/>
  <c r="W32" i="18"/>
  <c r="S154" i="18"/>
  <c r="R163" i="18" s="1"/>
  <c r="G302" i="20"/>
  <c r="K303" i="20"/>
  <c r="I303" i="20"/>
  <c r="J303" i="20"/>
  <c r="X31" i="18"/>
  <c r="X30" i="18"/>
  <c r="W71" i="18"/>
  <c r="X71" i="18"/>
  <c r="W141" i="18"/>
  <c r="X141" i="18"/>
  <c r="X111" i="18"/>
  <c r="W111" i="18"/>
  <c r="X109" i="18"/>
  <c r="W110" i="18"/>
  <c r="X110" i="18"/>
  <c r="X29" i="18"/>
  <c r="W70" i="18"/>
  <c r="X70" i="18"/>
  <c r="X107" i="18"/>
  <c r="W108" i="18"/>
  <c r="X108" i="18"/>
  <c r="X105" i="18"/>
  <c r="W106" i="18"/>
  <c r="X106" i="18"/>
  <c r="X104" i="18"/>
  <c r="W28" i="18"/>
  <c r="X28" i="18"/>
  <c r="X27" i="18"/>
  <c r="W69" i="18"/>
  <c r="X69" i="18"/>
  <c r="W26" i="18"/>
  <c r="W68" i="18"/>
  <c r="X68" i="18"/>
  <c r="W67" i="18"/>
  <c r="X67" i="18"/>
  <c r="W84" i="18"/>
  <c r="X84" i="18"/>
  <c r="S153" i="18"/>
  <c r="S152" i="18"/>
  <c r="W103" i="18"/>
  <c r="X103" i="18"/>
  <c r="X66" i="18"/>
  <c r="W66" i="18"/>
  <c r="W101" i="18"/>
  <c r="X101" i="18"/>
  <c r="W95" i="18"/>
  <c r="X95" i="18"/>
  <c r="W99" i="18"/>
  <c r="X99" i="18"/>
  <c r="X23" i="18"/>
  <c r="W25" i="18"/>
  <c r="X25" i="18"/>
  <c r="W20" i="18"/>
  <c r="X20" i="18"/>
  <c r="W97" i="18"/>
  <c r="X97" i="18"/>
  <c r="W22" i="18"/>
  <c r="X22" i="18"/>
  <c r="X102" i="18"/>
  <c r="W102" i="18"/>
  <c r="W94" i="18"/>
  <c r="X94" i="18"/>
  <c r="W93" i="18"/>
  <c r="X93" i="18"/>
  <c r="W98" i="18"/>
  <c r="X98" i="18"/>
  <c r="W96" i="18"/>
  <c r="X96" i="18"/>
  <c r="X21" i="18"/>
  <c r="W21" i="18"/>
  <c r="W100" i="18"/>
  <c r="X100" i="18"/>
  <c r="W24" i="18"/>
  <c r="X24" i="18"/>
  <c r="AL71" i="18"/>
  <c r="AM72" i="18"/>
  <c r="U152" i="18" l="1"/>
  <c r="R162" i="18"/>
  <c r="W112" i="18"/>
  <c r="U154" i="18"/>
  <c r="V154" i="18" s="1"/>
  <c r="N36" i="18"/>
  <c r="L21" i="18" s="1"/>
  <c r="U153" i="18"/>
  <c r="V153" i="18" s="1"/>
  <c r="N61"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3" i="18" l="1"/>
  <c r="S114" i="18"/>
  <c r="G298" i="20"/>
  <c r="K299" i="20"/>
  <c r="I299" i="20"/>
  <c r="J299" i="20"/>
  <c r="AL67" i="18"/>
  <c r="AM68" i="18"/>
  <c r="I2" i="33"/>
  <c r="E2" i="33"/>
  <c r="J2" i="33"/>
  <c r="F2" i="33"/>
  <c r="K2" i="33"/>
  <c r="G2" i="33"/>
  <c r="D2" i="33"/>
  <c r="C2" i="33"/>
  <c r="H2" i="33"/>
  <c r="D73" i="45"/>
  <c r="V114" i="18" l="1"/>
  <c r="S115" i="18"/>
  <c r="S116" i="18" s="1"/>
  <c r="S117" i="18" s="1"/>
  <c r="W113" i="18"/>
  <c r="X113" i="18"/>
  <c r="G297" i="20"/>
  <c r="K298" i="20"/>
  <c r="I298" i="20"/>
  <c r="J298" i="20"/>
  <c r="AL66" i="18"/>
  <c r="AM67" i="18"/>
  <c r="F33" i="14"/>
  <c r="F34" i="14"/>
  <c r="F35" i="14"/>
  <c r="F36" i="14"/>
  <c r="F37" i="14"/>
  <c r="F38" i="14"/>
  <c r="F39" i="14"/>
  <c r="F40" i="14"/>
  <c r="F41" i="14"/>
  <c r="F42" i="14"/>
  <c r="F43" i="14"/>
  <c r="E62" i="14"/>
  <c r="E61" i="14" s="1"/>
  <c r="B63" i="14"/>
  <c r="V115" i="18" l="1"/>
  <c r="X114" i="18"/>
  <c r="W114" i="18"/>
  <c r="G61" i="14"/>
  <c r="E60" i="14"/>
  <c r="I297" i="20"/>
  <c r="K297" i="20"/>
  <c r="J297" i="20"/>
  <c r="G296" i="20"/>
  <c r="AL65" i="18"/>
  <c r="AM66" i="18"/>
  <c r="W115" i="18" l="1"/>
  <c r="X115"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6" i="18" l="1"/>
  <c r="E55" i="14"/>
  <c r="G56" i="14"/>
  <c r="J292" i="20"/>
  <c r="I292" i="20"/>
  <c r="G291" i="20"/>
  <c r="K292" i="20"/>
  <c r="AM61" i="18"/>
  <c r="AL60" i="18"/>
  <c r="X116" i="18" l="1"/>
  <c r="W116"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18" i="18" l="1"/>
  <c r="E51" i="14"/>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V117" i="18"/>
  <c r="G284" i="20"/>
  <c r="K285" i="20"/>
  <c r="J285" i="20"/>
  <c r="I285" i="20"/>
  <c r="AL53" i="18"/>
  <c r="AM54" i="18"/>
  <c r="G48" i="14" l="1"/>
  <c r="E47" i="14"/>
  <c r="W117" i="18"/>
  <c r="X117"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19" i="18"/>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8" i="18"/>
  <c r="W118" i="18" s="1"/>
  <c r="J266" i="20"/>
  <c r="G265" i="20"/>
  <c r="K266" i="20"/>
  <c r="I266" i="20"/>
  <c r="AL34" i="18"/>
  <c r="AM35" i="18"/>
  <c r="E240" i="15"/>
  <c r="E239" i="15"/>
  <c r="X118" i="18" l="1"/>
  <c r="G29" i="14"/>
  <c r="E28" i="14"/>
  <c r="K265" i="20"/>
  <c r="G264" i="20"/>
  <c r="J265" i="20"/>
  <c r="I265" i="20"/>
  <c r="D259" i="15"/>
  <c r="AL33" i="18"/>
  <c r="AM34" i="18"/>
  <c r="E27" i="14" l="1"/>
  <c r="G28" i="14"/>
  <c r="G263" i="20"/>
  <c r="K264" i="20"/>
  <c r="J264" i="20"/>
  <c r="I264" i="20"/>
  <c r="D258" i="15"/>
  <c r="F259" i="15"/>
  <c r="AL32" i="18"/>
  <c r="AM33" i="18"/>
  <c r="V119" i="18" l="1"/>
  <c r="W119" i="18" s="1"/>
  <c r="S120" i="18"/>
  <c r="S121" i="18" s="1"/>
  <c r="S122" i="18" s="1"/>
  <c r="S123" i="18" s="1"/>
  <c r="S124" i="18" s="1"/>
  <c r="S125" i="18" s="1"/>
  <c r="E26" i="14"/>
  <c r="G27" i="14"/>
  <c r="I263" i="20"/>
  <c r="K263" i="20"/>
  <c r="G262" i="20"/>
  <c r="J263" i="20"/>
  <c r="D257" i="15"/>
  <c r="F258" i="15"/>
  <c r="AL31" i="18"/>
  <c r="AM32" i="18"/>
  <c r="K61" i="32"/>
  <c r="U61" i="32" s="1"/>
  <c r="K60" i="32"/>
  <c r="U60" i="32" s="1"/>
  <c r="K49" i="32"/>
  <c r="U49" i="32" s="1"/>
  <c r="K48" i="32"/>
  <c r="U48" i="32" s="1"/>
  <c r="K46" i="32"/>
  <c r="I60" i="32"/>
  <c r="I48" i="32"/>
  <c r="S70" i="32"/>
  <c r="V124" i="18" l="1"/>
  <c r="W124" i="18" s="1"/>
  <c r="X119" i="18"/>
  <c r="V120" i="18"/>
  <c r="X120" i="18" s="1"/>
  <c r="E25" i="14"/>
  <c r="G26" i="14"/>
  <c r="G261" i="20"/>
  <c r="I262" i="20"/>
  <c r="J262" i="20"/>
  <c r="K262" i="20"/>
  <c r="D256" i="15"/>
  <c r="F257" i="15"/>
  <c r="AL30" i="18"/>
  <c r="AM31" i="18"/>
  <c r="L60" i="32"/>
  <c r="L48" i="32"/>
  <c r="X124" i="18" l="1"/>
  <c r="S126" i="18"/>
  <c r="W120" i="18"/>
  <c r="E24" i="14"/>
  <c r="G25" i="14"/>
  <c r="J261" i="20"/>
  <c r="I261" i="20"/>
  <c r="K261" i="20"/>
  <c r="G260" i="20"/>
  <c r="D255" i="15"/>
  <c r="F256" i="15"/>
  <c r="AL29" i="18"/>
  <c r="AM30" i="18"/>
  <c r="V125" i="18" l="1"/>
  <c r="X125"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5"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6" i="18" l="1"/>
  <c r="W126" i="18" s="1"/>
  <c r="S127" i="18"/>
  <c r="V121" i="18"/>
  <c r="W121"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7" i="18" l="1"/>
  <c r="W127" i="18" s="1"/>
  <c r="S128" i="18"/>
  <c r="X126" i="18"/>
  <c r="X121"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8" i="18" l="1"/>
  <c r="W128" i="18" s="1"/>
  <c r="S129" i="18"/>
  <c r="X127" i="18"/>
  <c r="G255" i="20"/>
  <c r="I256" i="20"/>
  <c r="J256" i="20"/>
  <c r="K256" i="20"/>
  <c r="D250" i="15"/>
  <c r="F251" i="15"/>
  <c r="AL24" i="18"/>
  <c r="AM25" i="18"/>
  <c r="E178" i="13"/>
  <c r="G179" i="13"/>
  <c r="X128" i="18" l="1"/>
  <c r="V129" i="18"/>
  <c r="W129" i="18" s="1"/>
  <c r="S130" i="18"/>
  <c r="S131" i="18" s="1"/>
  <c r="V122" i="18"/>
  <c r="X122" i="18" s="1"/>
  <c r="G254" i="20"/>
  <c r="J255" i="20"/>
  <c r="I255" i="20"/>
  <c r="K255" i="20"/>
  <c r="D249" i="15"/>
  <c r="F250" i="15"/>
  <c r="AM24" i="18"/>
  <c r="AL23" i="18"/>
  <c r="E177" i="13"/>
  <c r="G178" i="13"/>
  <c r="V130" i="18" l="1"/>
  <c r="X130" i="18" s="1"/>
  <c r="X129" i="18"/>
  <c r="W122" i="18"/>
  <c r="K254" i="20"/>
  <c r="I254" i="20"/>
  <c r="G253" i="20"/>
  <c r="J254" i="20"/>
  <c r="F249" i="15"/>
  <c r="D248" i="15"/>
  <c r="AM23" i="18"/>
  <c r="AL22" i="18"/>
  <c r="E176" i="13"/>
  <c r="G177" i="13"/>
  <c r="D165" i="20"/>
  <c r="W130" i="18" l="1"/>
  <c r="G252" i="20"/>
  <c r="J253" i="20"/>
  <c r="K253" i="20"/>
  <c r="I253" i="20"/>
  <c r="D247" i="15"/>
  <c r="F248" i="15"/>
  <c r="AL21" i="18"/>
  <c r="AL20" i="18" s="1"/>
  <c r="AM22" i="18"/>
  <c r="E175" i="13"/>
  <c r="G176" i="13"/>
  <c r="D164" i="20"/>
  <c r="V131" i="18" l="1"/>
  <c r="W131" i="18" s="1"/>
  <c r="S132"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X2130" i="41" s="1"/>
  <c r="S2131" i="41"/>
  <c r="V2131" i="41" s="1"/>
  <c r="S2132" i="41"/>
  <c r="V2132" i="41" s="1"/>
  <c r="X2132" i="41" s="1"/>
  <c r="S2133" i="41"/>
  <c r="V2133" i="41" s="1"/>
  <c r="S2134" i="41"/>
  <c r="V2134" i="41" s="1"/>
  <c r="S2135" i="41"/>
  <c r="V2135" i="41" s="1"/>
  <c r="S2136" i="41"/>
  <c r="V2136" i="41" s="1"/>
  <c r="X2136" i="41" s="1"/>
  <c r="S2137" i="41"/>
  <c r="V2137" i="41" s="1"/>
  <c r="S2138" i="41"/>
  <c r="V2138" i="41" s="1"/>
  <c r="X2138" i="41" s="1"/>
  <c r="S2139" i="41"/>
  <c r="V2139" i="41" s="1"/>
  <c r="S2140" i="41"/>
  <c r="V2140" i="41" s="1"/>
  <c r="X2140" i="41" s="1"/>
  <c r="S2141" i="41"/>
  <c r="V2141" i="41" s="1"/>
  <c r="S2142" i="41"/>
  <c r="V2142" i="41" s="1"/>
  <c r="S2143" i="41"/>
  <c r="V2143" i="41" s="1"/>
  <c r="S2144" i="41"/>
  <c r="V2144" i="41" s="1"/>
  <c r="X2144" i="41" s="1"/>
  <c r="S2145" i="41"/>
  <c r="V2145" i="41" s="1"/>
  <c r="S2146" i="41"/>
  <c r="V2146" i="41" s="1"/>
  <c r="X2146" i="41" s="1"/>
  <c r="S2147" i="41"/>
  <c r="V2147" i="41" s="1"/>
  <c r="S2148" i="41"/>
  <c r="V2148" i="41" s="1"/>
  <c r="X2148" i="41" s="1"/>
  <c r="S2149" i="41"/>
  <c r="V2149" i="41" s="1"/>
  <c r="S2150" i="41"/>
  <c r="V2150" i="41" s="1"/>
  <c r="S2151" i="41"/>
  <c r="V2151" i="41" s="1"/>
  <c r="S2152" i="41"/>
  <c r="V2152" i="41" s="1"/>
  <c r="X2152" i="41" s="1"/>
  <c r="S2153" i="41"/>
  <c r="V2153" i="41" s="1"/>
  <c r="S2154" i="41"/>
  <c r="V2154" i="41" s="1"/>
  <c r="X2154" i="41" s="1"/>
  <c r="S2155" i="41"/>
  <c r="V2155" i="41" s="1"/>
  <c r="S2156" i="41"/>
  <c r="V2156" i="41" s="1"/>
  <c r="X2156" i="41" s="1"/>
  <c r="S2157" i="41"/>
  <c r="V2157" i="41" s="1"/>
  <c r="S2158" i="41"/>
  <c r="V2158" i="41" s="1"/>
  <c r="S2159" i="41"/>
  <c r="V2159" i="41" s="1"/>
  <c r="S2160" i="41"/>
  <c r="V2160" i="41" s="1"/>
  <c r="X2160" i="41" s="1"/>
  <c r="S2161" i="41"/>
  <c r="V2161" i="41" s="1"/>
  <c r="S2162" i="41"/>
  <c r="V2162" i="41" s="1"/>
  <c r="X2162" i="41" s="1"/>
  <c r="S2163" i="41"/>
  <c r="V2163" i="41" s="1"/>
  <c r="S2164" i="41"/>
  <c r="V2164" i="41" s="1"/>
  <c r="X2164" i="41" s="1"/>
  <c r="S2165" i="41"/>
  <c r="V2165" i="41" s="1"/>
  <c r="S2166" i="41"/>
  <c r="V2166" i="41" s="1"/>
  <c r="S2167" i="41"/>
  <c r="V2167" i="41" s="1"/>
  <c r="S2168" i="41"/>
  <c r="V2168" i="41" s="1"/>
  <c r="X2168" i="41" s="1"/>
  <c r="S2169" i="41"/>
  <c r="V2169" i="41" s="1"/>
  <c r="S2170" i="41"/>
  <c r="V2170" i="41" s="1"/>
  <c r="X2170" i="41" s="1"/>
  <c r="S2171" i="41"/>
  <c r="V2171" i="41" s="1"/>
  <c r="S2172" i="41"/>
  <c r="V2172" i="41" s="1"/>
  <c r="X2172" i="41" s="1"/>
  <c r="S2173" i="41"/>
  <c r="V2173" i="41" s="1"/>
  <c r="S2174" i="41"/>
  <c r="V2174" i="41" s="1"/>
  <c r="S2175" i="41"/>
  <c r="V2175" i="41" s="1"/>
  <c r="S2176" i="41"/>
  <c r="V2176" i="41" s="1"/>
  <c r="X2176" i="41" s="1"/>
  <c r="S2177" i="41"/>
  <c r="V2177" i="41" s="1"/>
  <c r="S2178" i="41"/>
  <c r="V2178" i="41" s="1"/>
  <c r="X2178" i="41" s="1"/>
  <c r="S2179" i="41"/>
  <c r="V2179" i="41" s="1"/>
  <c r="S2180" i="41"/>
  <c r="V2180" i="41" s="1"/>
  <c r="X2180" i="41" s="1"/>
  <c r="S2181" i="41"/>
  <c r="V2181" i="41" s="1"/>
  <c r="S2182" i="41"/>
  <c r="V2182" i="41" s="1"/>
  <c r="S2183" i="41"/>
  <c r="V2183" i="41" s="1"/>
  <c r="S2184" i="41"/>
  <c r="V2184" i="41" s="1"/>
  <c r="X2184" i="41" s="1"/>
  <c r="S2185" i="41"/>
  <c r="V2185" i="41" s="1"/>
  <c r="S2186" i="41"/>
  <c r="V2186" i="41" s="1"/>
  <c r="X2186" i="41" s="1"/>
  <c r="S2187" i="41"/>
  <c r="V2187" i="41" s="1"/>
  <c r="S2188" i="41"/>
  <c r="V2188" i="41" s="1"/>
  <c r="X2188" i="41" s="1"/>
  <c r="S2189" i="41"/>
  <c r="V2189" i="41" s="1"/>
  <c r="S2190" i="41"/>
  <c r="V2190" i="41" s="1"/>
  <c r="X2190" i="41" s="1"/>
  <c r="S2191" i="41"/>
  <c r="V2191" i="41" s="1"/>
  <c r="S2192" i="41"/>
  <c r="V2192" i="41" s="1"/>
  <c r="X2192" i="41" s="1"/>
  <c r="S2193" i="41"/>
  <c r="V2193" i="41" s="1"/>
  <c r="S2194" i="41"/>
  <c r="V2194" i="41" s="1"/>
  <c r="X2194" i="41" s="1"/>
  <c r="S2195" i="41"/>
  <c r="V2195" i="41" s="1"/>
  <c r="S2196" i="41"/>
  <c r="V2196" i="41" s="1"/>
  <c r="X2196" i="41" s="1"/>
  <c r="S2197" i="41"/>
  <c r="V2197" i="41" s="1"/>
  <c r="S2198" i="41"/>
  <c r="V2198" i="41" s="1"/>
  <c r="X2198" i="41" s="1"/>
  <c r="S2199" i="41"/>
  <c r="V2199" i="41" s="1"/>
  <c r="S2200" i="41"/>
  <c r="V2200" i="41" s="1"/>
  <c r="X2200" i="41" s="1"/>
  <c r="S2201" i="41"/>
  <c r="V2201" i="41" s="1"/>
  <c r="S2202" i="41"/>
  <c r="V2202" i="41" s="1"/>
  <c r="X2202" i="41" s="1"/>
  <c r="S2203" i="41"/>
  <c r="V2203" i="41" s="1"/>
  <c r="S2204" i="41"/>
  <c r="V2204" i="41" s="1"/>
  <c r="X2204" i="41" s="1"/>
  <c r="S2205" i="41"/>
  <c r="V2205" i="41" s="1"/>
  <c r="S2206" i="41"/>
  <c r="V2206" i="41" s="1"/>
  <c r="X2206" i="41" s="1"/>
  <c r="S2207" i="41"/>
  <c r="V2207" i="41" s="1"/>
  <c r="S2208" i="41"/>
  <c r="V2208" i="41" s="1"/>
  <c r="X2208" i="41" s="1"/>
  <c r="S2209" i="41"/>
  <c r="V2209" i="41" s="1"/>
  <c r="S2210" i="41"/>
  <c r="V2210" i="41" s="1"/>
  <c r="X2210" i="41" s="1"/>
  <c r="S2211" i="41"/>
  <c r="V2211" i="41" s="1"/>
  <c r="S2212" i="41"/>
  <c r="V2212" i="41" s="1"/>
  <c r="X2212" i="41" s="1"/>
  <c r="S2213" i="41"/>
  <c r="V2213" i="41" s="1"/>
  <c r="S2214" i="41"/>
  <c r="V2214" i="41" s="1"/>
  <c r="X2214" i="41" s="1"/>
  <c r="S2215" i="41"/>
  <c r="V2215" i="41" s="1"/>
  <c r="S2216" i="41"/>
  <c r="V2216" i="41" s="1"/>
  <c r="X2216" i="41" s="1"/>
  <c r="S2217" i="41"/>
  <c r="V2217" i="41" s="1"/>
  <c r="S2218" i="41"/>
  <c r="V2218" i="41" s="1"/>
  <c r="X2218" i="41" s="1"/>
  <c r="S2219" i="41"/>
  <c r="V2219" i="41" s="1"/>
  <c r="S2220" i="41"/>
  <c r="V2220" i="41" s="1"/>
  <c r="X2220" i="41" s="1"/>
  <c r="S2221" i="41"/>
  <c r="V2221" i="41" s="1"/>
  <c r="S2222" i="41"/>
  <c r="V2222" i="41" s="1"/>
  <c r="X2222" i="41" s="1"/>
  <c r="S2223" i="41"/>
  <c r="V2223" i="41" s="1"/>
  <c r="S2224" i="41"/>
  <c r="V2224" i="41" s="1"/>
  <c r="X2224" i="41" s="1"/>
  <c r="S2225" i="41"/>
  <c r="V2225" i="41" s="1"/>
  <c r="S2226" i="41"/>
  <c r="V2226" i="41" s="1"/>
  <c r="X2226" i="41" s="1"/>
  <c r="S2227" i="41"/>
  <c r="V2227" i="41" s="1"/>
  <c r="S2228" i="41"/>
  <c r="V2228" i="41" s="1"/>
  <c r="X2228" i="41" s="1"/>
  <c r="S2229" i="41"/>
  <c r="V2229" i="41" s="1"/>
  <c r="S2230" i="41"/>
  <c r="V2230" i="41" s="1"/>
  <c r="X2230" i="41" s="1"/>
  <c r="S2231" i="41"/>
  <c r="V2231" i="41" s="1"/>
  <c r="S2232" i="41"/>
  <c r="V2232" i="41" s="1"/>
  <c r="X2232" i="41" s="1"/>
  <c r="S2233" i="41"/>
  <c r="V2233" i="41" s="1"/>
  <c r="S2234" i="41"/>
  <c r="V2234" i="41" s="1"/>
  <c r="X2234" i="41" s="1"/>
  <c r="S2235" i="41"/>
  <c r="V2235" i="41" s="1"/>
  <c r="S2236" i="41"/>
  <c r="V2236" i="41" s="1"/>
  <c r="X2236" i="41" s="1"/>
  <c r="S2237" i="41"/>
  <c r="V2237" i="41" s="1"/>
  <c r="S2238" i="41"/>
  <c r="V2238" i="41" s="1"/>
  <c r="X2238" i="41" s="1"/>
  <c r="S2239" i="41"/>
  <c r="V2239" i="41" s="1"/>
  <c r="S2240" i="41"/>
  <c r="V2240" i="41" s="1"/>
  <c r="X2240" i="41" s="1"/>
  <c r="S2241" i="41"/>
  <c r="V2241" i="41" s="1"/>
  <c r="S2242" i="41"/>
  <c r="V2242" i="41" s="1"/>
  <c r="X2242" i="41" s="1"/>
  <c r="S2243" i="41"/>
  <c r="V2243" i="41" s="1"/>
  <c r="S2244" i="41"/>
  <c r="V2244" i="41" s="1"/>
  <c r="X2244" i="41" s="1"/>
  <c r="S2245" i="41"/>
  <c r="V2245" i="41" s="1"/>
  <c r="S2246" i="41"/>
  <c r="V2246" i="41" s="1"/>
  <c r="X2246" i="41" s="1"/>
  <c r="S2247" i="41"/>
  <c r="V2247" i="41" s="1"/>
  <c r="S2248" i="41"/>
  <c r="V2248" i="41" s="1"/>
  <c r="X2248" i="41" s="1"/>
  <c r="S2249" i="41"/>
  <c r="V2249" i="41" s="1"/>
  <c r="S2250" i="41"/>
  <c r="V2250" i="41" s="1"/>
  <c r="X2250" i="41" s="1"/>
  <c r="S2251" i="41"/>
  <c r="V2251" i="41" s="1"/>
  <c r="S2252" i="41"/>
  <c r="V2252" i="41" s="1"/>
  <c r="X2252" i="41" s="1"/>
  <c r="S2253" i="41"/>
  <c r="V2253" i="41" s="1"/>
  <c r="S2254" i="41"/>
  <c r="V2254" i="41" s="1"/>
  <c r="X2254" i="41" s="1"/>
  <c r="S2255" i="41"/>
  <c r="V2255" i="41" s="1"/>
  <c r="S2256" i="41"/>
  <c r="V2256" i="41" s="1"/>
  <c r="X2256" i="41" s="1"/>
  <c r="S2257" i="41"/>
  <c r="V2257" i="41" s="1"/>
  <c r="S2258" i="41"/>
  <c r="V2258" i="41" s="1"/>
  <c r="X2258" i="41" s="1"/>
  <c r="S2259" i="41"/>
  <c r="V2259" i="41" s="1"/>
  <c r="S2260" i="41"/>
  <c r="V2260" i="41" s="1"/>
  <c r="X2260" i="41" s="1"/>
  <c r="S2261" i="41"/>
  <c r="V2261" i="41" s="1"/>
  <c r="S2262" i="41"/>
  <c r="V2262" i="41" s="1"/>
  <c r="X2262" i="41" s="1"/>
  <c r="S2263" i="41"/>
  <c r="V2263" i="41" s="1"/>
  <c r="S2264" i="41"/>
  <c r="V2264" i="41" s="1"/>
  <c r="X2264" i="41" s="1"/>
  <c r="S2265" i="41"/>
  <c r="V2265" i="41" s="1"/>
  <c r="S2266" i="41"/>
  <c r="V2266" i="41" s="1"/>
  <c r="X2266" i="41" s="1"/>
  <c r="S2267" i="41"/>
  <c r="V2267" i="41" s="1"/>
  <c r="S2268" i="41"/>
  <c r="V2268" i="41" s="1"/>
  <c r="X2268" i="41" s="1"/>
  <c r="S2269" i="41"/>
  <c r="V2269" i="41" s="1"/>
  <c r="S2270" i="41"/>
  <c r="V2270" i="41" s="1"/>
  <c r="X2270" i="41" s="1"/>
  <c r="S2271" i="41"/>
  <c r="V2271" i="41" s="1"/>
  <c r="S2272" i="41"/>
  <c r="V2272" i="41" s="1"/>
  <c r="X2272" i="41" s="1"/>
  <c r="S2273" i="41"/>
  <c r="V2273" i="41" s="1"/>
  <c r="S2274" i="41"/>
  <c r="V2274" i="41" s="1"/>
  <c r="X2274" i="41" s="1"/>
  <c r="S2275" i="41"/>
  <c r="V2275" i="41" s="1"/>
  <c r="S2276" i="41"/>
  <c r="V2276" i="41" s="1"/>
  <c r="X2276" i="41" s="1"/>
  <c r="S2277" i="41"/>
  <c r="V2277" i="41" s="1"/>
  <c r="S2278" i="41"/>
  <c r="V2278" i="41" s="1"/>
  <c r="X2278" i="41" s="1"/>
  <c r="S2279" i="41"/>
  <c r="V2279" i="41" s="1"/>
  <c r="S2280" i="41"/>
  <c r="V2280" i="41" s="1"/>
  <c r="X2280" i="41" s="1"/>
  <c r="S2281" i="41"/>
  <c r="V2281" i="41" s="1"/>
  <c r="S2282" i="41"/>
  <c r="V2282" i="41" s="1"/>
  <c r="X2282" i="41" s="1"/>
  <c r="S2283" i="41"/>
  <c r="V2283" i="41" s="1"/>
  <c r="S2284" i="41"/>
  <c r="V2284" i="41" s="1"/>
  <c r="X2284" i="41" s="1"/>
  <c r="S2285" i="41"/>
  <c r="V2285" i="41" s="1"/>
  <c r="S2286" i="41"/>
  <c r="V2286" i="41" s="1"/>
  <c r="X2286" i="41" s="1"/>
  <c r="S2287" i="41"/>
  <c r="V2287" i="41" s="1"/>
  <c r="S2288" i="41"/>
  <c r="V2288" i="41" s="1"/>
  <c r="X2288" i="41" s="1"/>
  <c r="S2289" i="41"/>
  <c r="V2289" i="41" s="1"/>
  <c r="S2290" i="41"/>
  <c r="V2290" i="41" s="1"/>
  <c r="X2290" i="41" s="1"/>
  <c r="S2291" i="41"/>
  <c r="V2291" i="41" s="1"/>
  <c r="S2292" i="41"/>
  <c r="V2292" i="41" s="1"/>
  <c r="X2292" i="41" s="1"/>
  <c r="S2293" i="41"/>
  <c r="V2293" i="41" s="1"/>
  <c r="S2294" i="41"/>
  <c r="V2294" i="41" s="1"/>
  <c r="X2294" i="41" s="1"/>
  <c r="S2295" i="41"/>
  <c r="V2295" i="41" s="1"/>
  <c r="S2296" i="41"/>
  <c r="V2296" i="41" s="1"/>
  <c r="X2296" i="41" s="1"/>
  <c r="S2297" i="41"/>
  <c r="V2297" i="41" s="1"/>
  <c r="S2298" i="41"/>
  <c r="V2298" i="41" s="1"/>
  <c r="X2298" i="41" s="1"/>
  <c r="S2299" i="41"/>
  <c r="V2299" i="41" s="1"/>
  <c r="S2300" i="41"/>
  <c r="V2300" i="41" s="1"/>
  <c r="X2300" i="41" s="1"/>
  <c r="S2301" i="41"/>
  <c r="V2301" i="41" s="1"/>
  <c r="S2302" i="41"/>
  <c r="V2302" i="41" s="1"/>
  <c r="X2302" i="41" s="1"/>
  <c r="S2303" i="41"/>
  <c r="V2303" i="41" s="1"/>
  <c r="S2304" i="41"/>
  <c r="V2304" i="41" s="1"/>
  <c r="X2304" i="41" s="1"/>
  <c r="S2305" i="41"/>
  <c r="V2305" i="41" s="1"/>
  <c r="S2306" i="41"/>
  <c r="V2306" i="41" s="1"/>
  <c r="X2306" i="41" s="1"/>
  <c r="S2307" i="41"/>
  <c r="V2307" i="41" s="1"/>
  <c r="S2308" i="41"/>
  <c r="V2308" i="41" s="1"/>
  <c r="X2308" i="41" s="1"/>
  <c r="S2309" i="41"/>
  <c r="V2309" i="41" s="1"/>
  <c r="S2310" i="41"/>
  <c r="V2310" i="41" s="1"/>
  <c r="X2310" i="41" s="1"/>
  <c r="S2311" i="41"/>
  <c r="V2311" i="41" s="1"/>
  <c r="S2312" i="41"/>
  <c r="V2312" i="41" s="1"/>
  <c r="X2312" i="41" s="1"/>
  <c r="S2313" i="41"/>
  <c r="V2313" i="41" s="1"/>
  <c r="S2314" i="41"/>
  <c r="V2314" i="41" s="1"/>
  <c r="X2314" i="41" s="1"/>
  <c r="S2315" i="41"/>
  <c r="V2315" i="41" s="1"/>
  <c r="S2316" i="41"/>
  <c r="V2316" i="41" s="1"/>
  <c r="X2316" i="41" s="1"/>
  <c r="S2317" i="41"/>
  <c r="V2317" i="41" s="1"/>
  <c r="S2318" i="41"/>
  <c r="V2318" i="41" s="1"/>
  <c r="X2318" i="41" s="1"/>
  <c r="S2319" i="41"/>
  <c r="V2319" i="41" s="1"/>
  <c r="S2320" i="41"/>
  <c r="V2320" i="41" s="1"/>
  <c r="X2320" i="41" s="1"/>
  <c r="S2321" i="41"/>
  <c r="V2321" i="41" s="1"/>
  <c r="S2322" i="41"/>
  <c r="V2322" i="41" s="1"/>
  <c r="X2322" i="41" s="1"/>
  <c r="S2323" i="41"/>
  <c r="V2323" i="41" s="1"/>
  <c r="S2324" i="41"/>
  <c r="V2324" i="41" s="1"/>
  <c r="X2324" i="41" s="1"/>
  <c r="S2325" i="41"/>
  <c r="V2325" i="41" s="1"/>
  <c r="S2326" i="41"/>
  <c r="V2326" i="41" s="1"/>
  <c r="X2326" i="41" s="1"/>
  <c r="S2327" i="41"/>
  <c r="V2327" i="41" s="1"/>
  <c r="S2328" i="41"/>
  <c r="V2328" i="41" s="1"/>
  <c r="X2328" i="41" s="1"/>
  <c r="S2329" i="41"/>
  <c r="V2329" i="41" s="1"/>
  <c r="S2330" i="41"/>
  <c r="V2330" i="41" s="1"/>
  <c r="X2330" i="41" s="1"/>
  <c r="S2331" i="41"/>
  <c r="V2331" i="41" s="1"/>
  <c r="S2332" i="41"/>
  <c r="V2332" i="41" s="1"/>
  <c r="X2332" i="41" s="1"/>
  <c r="S2333" i="41"/>
  <c r="V2333" i="41" s="1"/>
  <c r="S2334" i="41"/>
  <c r="V2334" i="41" s="1"/>
  <c r="X2334" i="41" s="1"/>
  <c r="S2335" i="41"/>
  <c r="V2335" i="41" s="1"/>
  <c r="S2336" i="41"/>
  <c r="V2336" i="41" s="1"/>
  <c r="X2336" i="41" s="1"/>
  <c r="S2337" i="41"/>
  <c r="V2337" i="41" s="1"/>
  <c r="S2338" i="41"/>
  <c r="V2338" i="41" s="1"/>
  <c r="X2338" i="41" s="1"/>
  <c r="S2339" i="41"/>
  <c r="V2339" i="41" s="1"/>
  <c r="S2340" i="41"/>
  <c r="V2340" i="41" s="1"/>
  <c r="X2340" i="41" s="1"/>
  <c r="S2341" i="41"/>
  <c r="V2341" i="41" s="1"/>
  <c r="S2342" i="41"/>
  <c r="V2342" i="41" s="1"/>
  <c r="X2342" i="41" s="1"/>
  <c r="S2343" i="41"/>
  <c r="V2343" i="41" s="1"/>
  <c r="S2344" i="41"/>
  <c r="V2344" i="41" s="1"/>
  <c r="X2344" i="41" s="1"/>
  <c r="S2345" i="41"/>
  <c r="V2345" i="41" s="1"/>
  <c r="S2346" i="41"/>
  <c r="V2346" i="41" s="1"/>
  <c r="X2346" i="41" s="1"/>
  <c r="S2347" i="41"/>
  <c r="V2347" i="41" s="1"/>
  <c r="S2348" i="41"/>
  <c r="V2348" i="41" s="1"/>
  <c r="X2348" i="41" s="1"/>
  <c r="S2349" i="41"/>
  <c r="V2349" i="41" s="1"/>
  <c r="S2350" i="41"/>
  <c r="V2350" i="41" s="1"/>
  <c r="X2350" i="41" s="1"/>
  <c r="S2351" i="41"/>
  <c r="V2351" i="41" s="1"/>
  <c r="S2352" i="41"/>
  <c r="V2352" i="41" s="1"/>
  <c r="X2352" i="41" s="1"/>
  <c r="S2353" i="41"/>
  <c r="V2353" i="41" s="1"/>
  <c r="S2354" i="41"/>
  <c r="V2354" i="41" s="1"/>
  <c r="X2354" i="41" s="1"/>
  <c r="S2355" i="41"/>
  <c r="V2355" i="41" s="1"/>
  <c r="S2356" i="41"/>
  <c r="V2356" i="41" s="1"/>
  <c r="X2356" i="41" s="1"/>
  <c r="S2357" i="41"/>
  <c r="V2357" i="41" s="1"/>
  <c r="S2358" i="41"/>
  <c r="V2358" i="41" s="1"/>
  <c r="X2358" i="41" s="1"/>
  <c r="S2359" i="41"/>
  <c r="V2359" i="41" s="1"/>
  <c r="S2360" i="41"/>
  <c r="V2360" i="41" s="1"/>
  <c r="X2360" i="41" s="1"/>
  <c r="S2361" i="41"/>
  <c r="V2361" i="41" s="1"/>
  <c r="S2362" i="41"/>
  <c r="V2362" i="41" s="1"/>
  <c r="X2362" i="41" s="1"/>
  <c r="S2363" i="41"/>
  <c r="V2363" i="41" s="1"/>
  <c r="S2364" i="41"/>
  <c r="V2364" i="41" s="1"/>
  <c r="X2364" i="41" s="1"/>
  <c r="S2365" i="41"/>
  <c r="V2365" i="41" s="1"/>
  <c r="S2366" i="41"/>
  <c r="V2366" i="41" s="1"/>
  <c r="X2366" i="41" s="1"/>
  <c r="S2367" i="41"/>
  <c r="V2367" i="41" s="1"/>
  <c r="S2368" i="41"/>
  <c r="V2368" i="41" s="1"/>
  <c r="X2368" i="41" s="1"/>
  <c r="S2369" i="41"/>
  <c r="V2369" i="41" s="1"/>
  <c r="S2370" i="41"/>
  <c r="V2370" i="41" s="1"/>
  <c r="X2370" i="41" s="1"/>
  <c r="S2371" i="41"/>
  <c r="V2371" i="41" s="1"/>
  <c r="S2372" i="41"/>
  <c r="V2372" i="41" s="1"/>
  <c r="X2372" i="41" s="1"/>
  <c r="S2373" i="41"/>
  <c r="V2373" i="41" s="1"/>
  <c r="S2374" i="41"/>
  <c r="V2374" i="41" s="1"/>
  <c r="X2374" i="41" s="1"/>
  <c r="S2375" i="41"/>
  <c r="V2375" i="41" s="1"/>
  <c r="S2376" i="41"/>
  <c r="V2376" i="41" s="1"/>
  <c r="X2376" i="41" s="1"/>
  <c r="S2377" i="41"/>
  <c r="V2377" i="41" s="1"/>
  <c r="S2378" i="41"/>
  <c r="V2378" i="41" s="1"/>
  <c r="X2378" i="41" s="1"/>
  <c r="S2379" i="41"/>
  <c r="V2379" i="41" s="1"/>
  <c r="S2380" i="41"/>
  <c r="V2380" i="41" s="1"/>
  <c r="X2380" i="41" s="1"/>
  <c r="S2381" i="41"/>
  <c r="V2381" i="41" s="1"/>
  <c r="S2382" i="41"/>
  <c r="V2382" i="41" s="1"/>
  <c r="X2382" i="41" s="1"/>
  <c r="S2383" i="41"/>
  <c r="V2383" i="41" s="1"/>
  <c r="S2384" i="41"/>
  <c r="V2384" i="41" s="1"/>
  <c r="X2384" i="41" s="1"/>
  <c r="S2385" i="41"/>
  <c r="V2385" i="41" s="1"/>
  <c r="S2386" i="41"/>
  <c r="V2386" i="41" s="1"/>
  <c r="X2386" i="41" s="1"/>
  <c r="S2387" i="41"/>
  <c r="V2387" i="41" s="1"/>
  <c r="S2388" i="41"/>
  <c r="V2388" i="41" s="1"/>
  <c r="X2388" i="41" s="1"/>
  <c r="S2389" i="41"/>
  <c r="V2389" i="41" s="1"/>
  <c r="S2390" i="41"/>
  <c r="V2390" i="41" s="1"/>
  <c r="X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N688" i="41"/>
  <c r="N1088" i="41"/>
  <c r="K2337" i="41"/>
  <c r="N210" i="41"/>
  <c r="N263" i="41"/>
  <c r="N328" i="41"/>
  <c r="N383" i="41"/>
  <c r="N641" i="41"/>
  <c r="N1063" i="41"/>
  <c r="N1231" i="41"/>
  <c r="N1386" i="41"/>
  <c r="N1528" i="41"/>
  <c r="N2016"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131" i="18" l="1"/>
  <c r="V132" i="18"/>
  <c r="W132" i="18" s="1"/>
  <c r="S133" i="18"/>
  <c r="L997" i="41"/>
  <c r="L837" i="41"/>
  <c r="N837" i="41" s="1"/>
  <c r="L757" i="41"/>
  <c r="N757" i="41" s="1"/>
  <c r="L517" i="41"/>
  <c r="L1317" i="41"/>
  <c r="L917" i="41"/>
  <c r="L197" i="41"/>
  <c r="N197" i="41" s="1"/>
  <c r="L117" i="41"/>
  <c r="L2207" i="41"/>
  <c r="L1567" i="41"/>
  <c r="L1547" i="41"/>
  <c r="N1547" i="41" s="1"/>
  <c r="L1387" i="41"/>
  <c r="L1247" i="41"/>
  <c r="N1247" i="41" s="1"/>
  <c r="L307" i="41"/>
  <c r="L227" i="41"/>
  <c r="N227" i="41" s="1"/>
  <c r="L147" i="41"/>
  <c r="V123"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L1372" i="41"/>
  <c r="N1372" i="41" s="1"/>
  <c r="L1212" i="41"/>
  <c r="N1212" i="41" s="1"/>
  <c r="L1052" i="41"/>
  <c r="L2112" i="41"/>
  <c r="N2112" i="41" s="1"/>
  <c r="L1832" i="41"/>
  <c r="N1832" i="41" s="1"/>
  <c r="L1712" i="41"/>
  <c r="L357" i="41"/>
  <c r="L2362" i="41"/>
  <c r="L2117" i="4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L1282" i="41"/>
  <c r="N1282" i="41" s="1"/>
  <c r="L1232" i="41"/>
  <c r="L597" i="4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N2207" i="41"/>
  <c r="L2027" i="41"/>
  <c r="N2027" i="41" s="1"/>
  <c r="L1887" i="41"/>
  <c r="N1887" i="41" s="1"/>
  <c r="L1707" i="41"/>
  <c r="N1567" i="41"/>
  <c r="L1067" i="41"/>
  <c r="L2382" i="41"/>
  <c r="N2382" i="41" s="1"/>
  <c r="L1617" i="41"/>
  <c r="L1577" i="41"/>
  <c r="N1577" i="41" s="1"/>
  <c r="L1417" i="41"/>
  <c r="L882" i="41"/>
  <c r="N882" i="41" s="1"/>
  <c r="L862" i="41"/>
  <c r="L842" i="41"/>
  <c r="N842" i="41" s="1"/>
  <c r="L802" i="41"/>
  <c r="N802" i="41" s="1"/>
  <c r="L662" i="41"/>
  <c r="N662" i="41" s="1"/>
  <c r="L642" i="41"/>
  <c r="L622" i="4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L492" i="41"/>
  <c r="N492" i="41" s="1"/>
  <c r="L452" i="41"/>
  <c r="N452" i="41" s="1"/>
  <c r="L317" i="4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L2192" i="41"/>
  <c r="N2192" i="41" s="1"/>
  <c r="L2152" i="41"/>
  <c r="N2152" i="41" s="1"/>
  <c r="N2117" i="41"/>
  <c r="L1792" i="41"/>
  <c r="N1792" i="41" s="1"/>
  <c r="L1752" i="41"/>
  <c r="L1637" i="41"/>
  <c r="N1637" i="41" s="1"/>
  <c r="N1617" i="41"/>
  <c r="L1597" i="41"/>
  <c r="L1557" i="4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L1392" i="41"/>
  <c r="N1392" i="41" s="1"/>
  <c r="L1352" i="41"/>
  <c r="N1352" i="41" s="1"/>
  <c r="L1012" i="41"/>
  <c r="L877" i="41"/>
  <c r="L562" i="41"/>
  <c r="N562" i="41" s="1"/>
  <c r="L2062" i="41"/>
  <c r="N2062" i="41" s="1"/>
  <c r="L1262" i="41"/>
  <c r="L2342" i="41"/>
  <c r="N2342" i="41" s="1"/>
  <c r="L2282" i="41"/>
  <c r="N2282" i="41" s="1"/>
  <c r="L2242" i="41"/>
  <c r="N2242" i="41" s="1"/>
  <c r="L2222" i="41"/>
  <c r="L2162" i="41"/>
  <c r="N2162" i="41" s="1"/>
  <c r="L2122" i="41"/>
  <c r="N2122" i="41" s="1"/>
  <c r="L1952" i="41"/>
  <c r="L1762" i="41"/>
  <c r="N1762" i="41" s="1"/>
  <c r="L1647" i="41"/>
  <c r="N1647" i="41" s="1"/>
  <c r="L1527" i="41"/>
  <c r="N1527" i="41" s="1"/>
  <c r="L1312" i="41"/>
  <c r="L1182" i="41"/>
  <c r="N1182" i="41" s="1"/>
  <c r="L1162" i="41"/>
  <c r="N1162" i="41" s="1"/>
  <c r="L1087" i="41"/>
  <c r="N1087" i="41" s="1"/>
  <c r="L992" i="41"/>
  <c r="N992" i="41" s="1"/>
  <c r="L952" i="41"/>
  <c r="L677" i="41"/>
  <c r="L637" i="41"/>
  <c r="N637" i="41" s="1"/>
  <c r="L362" i="41"/>
  <c r="N362" i="41" s="1"/>
  <c r="L2247" i="41"/>
  <c r="N2247" i="41" s="1"/>
  <c r="L1957" i="41"/>
  <c r="N1957" i="41" s="1"/>
  <c r="L1652" i="41"/>
  <c r="N1652" i="41" s="1"/>
  <c r="L1592" i="41"/>
  <c r="N1592" i="41" s="1"/>
  <c r="L1532" i="41"/>
  <c r="N1532" i="41" s="1"/>
  <c r="L1072" i="41"/>
  <c r="L1912" i="41"/>
  <c r="N1912" i="41" s="1"/>
  <c r="L1722" i="41"/>
  <c r="N1722" i="41" s="1"/>
  <c r="L1447" i="41"/>
  <c r="N1447" i="41" s="1"/>
  <c r="L1407" i="41"/>
  <c r="L1252" i="41"/>
  <c r="L1197" i="41"/>
  <c r="N1197" i="41" s="1"/>
  <c r="L1122" i="41"/>
  <c r="N1122" i="41" s="1"/>
  <c r="L772" i="4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L2187" i="41"/>
  <c r="N2187" i="41" s="1"/>
  <c r="N997" i="41"/>
  <c r="L587" i="41"/>
  <c r="N587" i="41" s="1"/>
  <c r="L2377" i="41"/>
  <c r="N2377" i="41" s="1"/>
  <c r="L657" i="4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N2212" i="41"/>
  <c r="L1737" i="41"/>
  <c r="N1737" i="41" s="1"/>
  <c r="L1702" i="41"/>
  <c r="N1702" i="41" s="1"/>
  <c r="L1667" i="41"/>
  <c r="N1557" i="41"/>
  <c r="L1502" i="41"/>
  <c r="N1502" i="41" s="1"/>
  <c r="L1427" i="41"/>
  <c r="N1427" i="41" s="1"/>
  <c r="L1137" i="41"/>
  <c r="N1137" i="41" s="1"/>
  <c r="N862" i="41"/>
  <c r="L747" i="41"/>
  <c r="L412" i="41"/>
  <c r="N412" i="41" s="1"/>
  <c r="L17" i="41"/>
  <c r="N17" i="41" s="1"/>
  <c r="N2312" i="41"/>
  <c r="L2202" i="41"/>
  <c r="N2202" i="41" s="1"/>
  <c r="L2167" i="41"/>
  <c r="N2167" i="41" s="1"/>
  <c r="L2092" i="41"/>
  <c r="L2057" i="41"/>
  <c r="N2057" i="41" s="1"/>
  <c r="L1892" i="41"/>
  <c r="N1892" i="41" s="1"/>
  <c r="L1822" i="41"/>
  <c r="N1822" i="41" s="1"/>
  <c r="L1802" i="41"/>
  <c r="N1802" i="41" s="1"/>
  <c r="L1677" i="41"/>
  <c r="N1677" i="41" s="1"/>
  <c r="L1622" i="41"/>
  <c r="N1622" i="41" s="1"/>
  <c r="N1512" i="41"/>
  <c r="L1457" i="41"/>
  <c r="N1457" i="41" s="1"/>
  <c r="L1367" i="41"/>
  <c r="N1367" i="41" s="1"/>
  <c r="L1292" i="41"/>
  <c r="N1292" i="41" s="1"/>
  <c r="L1257" i="41"/>
  <c r="N1257" i="41" s="1"/>
  <c r="L1222" i="41"/>
  <c r="N1222" i="41" s="1"/>
  <c r="L2347" i="41"/>
  <c r="N2347" i="41" s="1"/>
  <c r="L2292" i="4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L1127" i="41"/>
  <c r="N1127" i="41" s="1"/>
  <c r="L1092" i="41"/>
  <c r="N1092" i="41" s="1"/>
  <c r="L1037" i="41"/>
  <c r="N1037" i="41" s="1"/>
  <c r="L982" i="41"/>
  <c r="N982" i="41" s="1"/>
  <c r="L962" i="41"/>
  <c r="L942" i="41"/>
  <c r="N942" i="41" s="1"/>
  <c r="L907" i="41"/>
  <c r="N907" i="41" s="1"/>
  <c r="L832" i="41"/>
  <c r="N832" i="41" s="1"/>
  <c r="L812" i="41"/>
  <c r="N812" i="41" s="1"/>
  <c r="L792" i="41"/>
  <c r="N792" i="41" s="1"/>
  <c r="L737" i="41"/>
  <c r="N737" i="41" s="1"/>
  <c r="L717" i="41"/>
  <c r="N717" i="41" s="1"/>
  <c r="L682" i="41"/>
  <c r="N682" i="41" s="1"/>
  <c r="L497" i="41"/>
  <c r="L477" i="41"/>
  <c r="N477" i="41" s="1"/>
  <c r="L422" i="41"/>
  <c r="L402" i="4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417" i="41"/>
  <c r="L1342" i="41"/>
  <c r="N1342" i="41" s="1"/>
  <c r="L1267" i="41"/>
  <c r="N1267" i="41" s="1"/>
  <c r="N1252" i="41"/>
  <c r="N1232" i="41"/>
  <c r="L1142" i="41"/>
  <c r="N1142" i="41" s="1"/>
  <c r="L977" i="41"/>
  <c r="L902" i="41"/>
  <c r="N902" i="41" s="1"/>
  <c r="N772" i="41"/>
  <c r="N532" i="4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267" i="41"/>
  <c r="L2227" i="41"/>
  <c r="N2227" i="41" s="1"/>
  <c r="L1972" i="41"/>
  <c r="N1972" i="41" s="1"/>
  <c r="L1772" i="41"/>
  <c r="N1357" i="41"/>
  <c r="N1302"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L1967" i="41"/>
  <c r="N1967" i="41" s="1"/>
  <c r="L1877" i="41"/>
  <c r="N1877" i="41" s="1"/>
  <c r="L1842" i="41"/>
  <c r="N1842" i="41" s="1"/>
  <c r="L1787" i="4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L462" i="41"/>
  <c r="N462" i="41" s="1"/>
  <c r="L427" i="41"/>
  <c r="N427" i="41" s="1"/>
  <c r="N317" i="4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N131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N2362" i="41"/>
  <c r="L2327" i="41"/>
  <c r="N2327" i="41" s="1"/>
  <c r="N2302" i="41"/>
  <c r="N2292" i="41"/>
  <c r="N2272" i="41"/>
  <c r="L2147" i="41"/>
  <c r="N2147" i="41" s="1"/>
  <c r="L2127" i="41"/>
  <c r="N2127" i="41" s="1"/>
  <c r="N2092" i="41"/>
  <c r="N1987" i="41"/>
  <c r="L1947" i="41"/>
  <c r="N1947" i="41" s="1"/>
  <c r="L1927" i="41"/>
  <c r="N1927" i="41" s="1"/>
  <c r="N1852" i="41"/>
  <c r="N1787" i="41"/>
  <c r="L1747" i="41"/>
  <c r="N1747" i="41" s="1"/>
  <c r="N1742" i="41"/>
  <c r="N1712" i="41"/>
  <c r="N1707" i="41"/>
  <c r="L1687" i="41"/>
  <c r="N1687" i="41" s="1"/>
  <c r="L1507" i="41"/>
  <c r="N1507" i="41" s="1"/>
  <c r="L1487" i="41"/>
  <c r="N1487" i="41" s="1"/>
  <c r="N1432" i="41"/>
  <c r="N1362" i="41"/>
  <c r="N1347" i="41"/>
  <c r="L1307" i="41"/>
  <c r="N1307" i="41" s="1"/>
  <c r="L1287" i="41"/>
  <c r="N1287" i="41" s="1"/>
  <c r="N1147" i="41"/>
  <c r="L1107" i="41"/>
  <c r="N1107" i="41" s="1"/>
  <c r="N1072" i="41"/>
  <c r="N1067" i="41"/>
  <c r="L1047" i="41"/>
  <c r="N1047" i="41" s="1"/>
  <c r="N1012" i="41"/>
  <c r="N962" i="41"/>
  <c r="N952" i="41"/>
  <c r="N947" i="41"/>
  <c r="L827" i="41"/>
  <c r="N827" i="41" s="1"/>
  <c r="N747" i="41"/>
  <c r="N692" i="41"/>
  <c r="N642" i="41"/>
  <c r="N582" i="41"/>
  <c r="L507" i="41"/>
  <c r="N507" i="41" s="1"/>
  <c r="N397" i="41"/>
  <c r="N372" i="41"/>
  <c r="N307"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952" i="41"/>
  <c r="N1772" i="41"/>
  <c r="N1752" i="41"/>
  <c r="N1667" i="41"/>
  <c r="N1607" i="41"/>
  <c r="N1522" i="41"/>
  <c r="N1412" i="41"/>
  <c r="N1387" i="41"/>
  <c r="N1312" i="41"/>
  <c r="N1112" i="41"/>
  <c r="N1062" i="41"/>
  <c r="L987" i="41"/>
  <c r="N987" i="41" s="1"/>
  <c r="N877" i="41"/>
  <c r="N787" i="41"/>
  <c r="L667" i="41"/>
  <c r="N667" i="41" s="1"/>
  <c r="N622" i="41"/>
  <c r="N482" i="41"/>
  <c r="N467" i="41"/>
  <c r="N422" i="41"/>
  <c r="N402"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657" i="41"/>
  <c r="N597" i="41"/>
  <c r="N517" i="41"/>
  <c r="N49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677"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77" i="41"/>
  <c r="N917" i="41"/>
  <c r="N37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N1542" i="4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V133" i="18" l="1"/>
  <c r="W133" i="18" s="1"/>
  <c r="S134" i="18"/>
  <c r="X132" i="18"/>
  <c r="X123" i="18"/>
  <c r="W123" i="18"/>
  <c r="U2123" i="41"/>
  <c r="V2123" i="41" s="1"/>
  <c r="X2123" i="41" s="1"/>
  <c r="G249" i="20"/>
  <c r="J250" i="20"/>
  <c r="K250" i="20"/>
  <c r="I250" i="20"/>
  <c r="F245" i="15"/>
  <c r="D244" i="15"/>
  <c r="AN180" i="18"/>
  <c r="AJ185" i="18" s="1"/>
  <c r="E172" i="13"/>
  <c r="G173" i="13"/>
  <c r="D62" i="38"/>
  <c r="V134" i="18" l="1"/>
  <c r="X134" i="18" s="1"/>
  <c r="S135" i="18"/>
  <c r="S136" i="18" s="1"/>
  <c r="X133" i="18"/>
  <c r="AJ189" i="18"/>
  <c r="J249" i="20"/>
  <c r="I249" i="20"/>
  <c r="K249" i="20"/>
  <c r="G248" i="20"/>
  <c r="F244" i="15"/>
  <c r="D243" i="15"/>
  <c r="AJ188" i="18"/>
  <c r="E171" i="13"/>
  <c r="G172" i="13"/>
  <c r="V135" i="18" l="1"/>
  <c r="W135" i="18" s="1"/>
  <c r="W134" i="18"/>
  <c r="G247" i="20"/>
  <c r="J248" i="20"/>
  <c r="K248" i="20"/>
  <c r="I248" i="20"/>
  <c r="F243" i="15"/>
  <c r="D242" i="15"/>
  <c r="E170" i="13"/>
  <c r="G171" i="13"/>
  <c r="X135" i="18" l="1"/>
  <c r="K247" i="20"/>
  <c r="J247" i="20"/>
  <c r="I247" i="20"/>
  <c r="G246" i="20"/>
  <c r="F242" i="15"/>
  <c r="D241" i="15"/>
  <c r="E169" i="13"/>
  <c r="G170" i="13"/>
  <c r="D163" i="20"/>
  <c r="V136" i="18" l="1"/>
  <c r="X136" i="18" s="1"/>
  <c r="S137" i="18"/>
  <c r="G245" i="20"/>
  <c r="J246" i="20"/>
  <c r="K246" i="20"/>
  <c r="I246" i="20"/>
  <c r="F241" i="15"/>
  <c r="D240" i="15"/>
  <c r="E168" i="13"/>
  <c r="G169" i="13"/>
  <c r="V137" i="18" l="1"/>
  <c r="X137" i="18" s="1"/>
  <c r="S138" i="18"/>
  <c r="W136" i="18"/>
  <c r="I245" i="20"/>
  <c r="J245" i="20"/>
  <c r="G244" i="20"/>
  <c r="K245" i="20"/>
  <c r="D239" i="15"/>
  <c r="F240" i="15"/>
  <c r="E167" i="13"/>
  <c r="G168" i="13"/>
  <c r="D162" i="20"/>
  <c r="V138" i="18" l="1"/>
  <c r="S139" i="18"/>
  <c r="W137" i="18"/>
  <c r="W138" i="18"/>
  <c r="X138" i="18"/>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V139" i="18" l="1"/>
  <c r="S140" i="18"/>
  <c r="V140" i="18" s="1"/>
  <c r="W139" i="18"/>
  <c r="X139" i="18"/>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W140" i="18" l="1"/>
  <c r="X140" i="18"/>
  <c r="J242" i="20"/>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J30" i="33"/>
  <c r="F30" i="33"/>
  <c r="K30" i="33"/>
  <c r="G30" i="33"/>
  <c r="H30" i="33"/>
  <c r="D30" i="33"/>
  <c r="C30" i="33"/>
  <c r="E30" i="33"/>
  <c r="I30" i="33"/>
  <c r="B36" i="33"/>
  <c r="U36" i="33" s="1"/>
  <c r="H36" i="33"/>
  <c r="D36" i="33"/>
  <c r="C36" i="33"/>
  <c r="K36" i="33"/>
  <c r="I36" i="33"/>
  <c r="E36" i="33"/>
  <c r="J36" i="33"/>
  <c r="F36" i="33"/>
  <c r="G36" i="33"/>
  <c r="B7" i="33"/>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U30" i="33"/>
  <c r="R36" i="33"/>
  <c r="L36" i="33"/>
  <c r="L11" i="33"/>
  <c r="L31" i="33"/>
  <c r="L33" i="33"/>
  <c r="L12" i="33"/>
  <c r="L32" i="33"/>
  <c r="L2" i="33"/>
  <c r="U2" i="33"/>
  <c r="L13" i="33"/>
  <c r="L4" i="33"/>
  <c r="U4" i="33"/>
  <c r="L35" i="33"/>
  <c r="L26" i="33"/>
  <c r="L6" i="33"/>
  <c r="U6" i="33"/>
  <c r="L37" i="33"/>
  <c r="L27" i="33"/>
  <c r="L7" i="33"/>
  <c r="U7" i="33"/>
  <c r="L38" i="33"/>
  <c r="L28" i="33"/>
  <c r="U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4" i="18" l="1"/>
  <c r="F24" i="18" s="1"/>
  <c r="G113" i="20"/>
  <c r="J114" i="20"/>
  <c r="I114" i="20"/>
  <c r="K114" i="20"/>
  <c r="L65" i="18"/>
  <c r="E33" i="13"/>
  <c r="G34" i="13"/>
  <c r="F108" i="15"/>
  <c r="C20" i="18"/>
  <c r="G20" i="14"/>
  <c r="G21" i="14"/>
  <c r="G112" i="20" l="1"/>
  <c r="K113" i="20"/>
  <c r="J113" i="20"/>
  <c r="I113" i="20"/>
  <c r="L66"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2"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<sst xmlns="http://schemas.openxmlformats.org/spreadsheetml/2006/main" count="12084" uniqueCount="5149">
  <si>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</si>
  <si>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</si>
  <si>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</si>
  <si>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</si>
  <si>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</si>
  <si>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</si>
  <si>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</si>
  <si>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</si>
  <si>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</si>
  <si>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</si>
  <si>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</si>
  <si>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</si>
  <si>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</si>
  <si>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</si>
  <si>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</si>
  <si>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</si>
  <si>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</si>
  <si>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</si>
  <si>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</si>
  <si>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</si>
  <si>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</si>
  <si>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</si>
  <si>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</si>
  <si>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</si>
  <si>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</si>
  <si>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</si>
  <si>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</si>
  <si>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</si>
  <si>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</si>
  <si>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</si>
  <si>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</si>
  <si>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</si>
  <si>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</si>
  <si>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</si>
  <si>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</si>
  <si>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</si>
  <si>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</si>
  <si>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</si>
  <si>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</si>
  <si>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</si>
  <si>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</si>
  <si>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</si>
  <si>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</si>
  <si>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</si>
  <si>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</si>
  <si>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</si>
  <si>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</si>
  <si>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</si>
  <si>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</si>
  <si>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</si>
  <si>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</si>
  <si>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</si>
  <si>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</si>
  <si>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</si>
  <si>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</si>
  <si>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</si>
  <si>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</si>
  <si>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</si>
  <si>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</si>
  <si>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</si>
  <si>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</si>
  <si>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</si>
  <si>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</si>
  <si>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</si>
  <si>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</si>
  <si>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</si>
  <si>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</si>
  <si>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</si>
  <si>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</si>
  <si>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</si>
  <si>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</si>
  <si>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</si>
  <si>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</si>
  <si>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</si>
  <si>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</si>
  <si>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</si>
  <si>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</si>
  <si>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</si>
  <si>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</si>
  <si>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</si>
  <si>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</si>
  <si>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</si>
  <si>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</si>
  <si>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</si>
  <si>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</si>
  <si>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</si>
  <si>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</si>
  <si>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</si>
  <si>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</si>
  <si>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</si>
  <si>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</si>
  <si>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</si>
  <si>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</si>
  <si>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</si>
  <si>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</si>
  <si>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</si>
  <si>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</si>
  <si>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</si>
  <si>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</si>
  <si>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</si>
  <si>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</si>
  <si>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</si>
  <si>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</si>
  <si>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</si>
  <si>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</si>
  <si>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</si>
  <si>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</si>
  <si>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</si>
  <si>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</si>
  <si>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</si>
  <si>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</si>
  <si>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</si>
  <si>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</si>
  <si>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</si>
  <si>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</si>
  <si>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</si>
  <si>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</si>
  <si>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</si>
  <si>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</si>
  <si>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</si>
  <si>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</si>
  <si>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</si>
  <si>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</si>
  <si>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</si>
  <si>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</si>
  <si>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</si>
  <si>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</si>
  <si>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</si>
  <si>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</si>
  <si>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</si>
  <si>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</si>
  <si>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</si>
  <si>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</si>
  <si>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</si>
  <si>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</si>
  <si>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</si>
  <si>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</si>
  <si>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</si>
  <si>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</si>
  <si>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</si>
  <si>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</si>
  <si>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</si>
  <si>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</si>
  <si>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</si>
  <si>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</si>
  <si>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</si>
  <si>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</si>
  <si>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</si>
  <si>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</si>
  <si>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</si>
  <si>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</si>
  <si>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</si>
  <si>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</si>
  <si>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</si>
  <si>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</si>
  <si>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</si>
  <si>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</si>
  <si>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</si>
  <si>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</si>
  <si>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</si>
  <si>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</si>
  <si>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</si>
  <si>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</si>
  <si>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</si>
  <si>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</si>
  <si>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</si>
  <si>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</si>
  <si>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</si>
  <si>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</si>
  <si>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</si>
  <si>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</si>
  <si>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</si>
  <si>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</si>
  <si>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</si>
  <si>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</si>
  <si>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</si>
  <si>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</si>
  <si>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</si>
  <si>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</si>
  <si>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</si>
  <si>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</si>
  <si>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</si>
  <si>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</si>
  <si>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</si>
  <si>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</si>
  <si>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</si>
  <si>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</si>
  <si>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</si>
  <si>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</si>
  <si>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</si>
  <si>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</si>
  <si>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</si>
  <si>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</si>
  <si>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</si>
  <si>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</si>
  <si>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</si>
  <si>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</si>
  <si>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</si>
  <si>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</si>
  <si>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</si>
  <si>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</si>
  <si>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</si>
  <si>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</si>
  <si>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</si>
  <si>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</si>
  <si>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</si>
  <si>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</si>
  <si>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</si>
  <si>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</si>
  <si>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</si>
  <si>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</si>
  <si>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</si>
  <si>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</si>
  <si>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</si>
  <si>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</si>
  <si>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</si>
  <si>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</si>
  <si>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</si>
  <si>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</si>
  <si>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</si>
  <si>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</si>
  <si>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</si>
  <si>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</si>
  <si>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</si>
  <si>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</si>
  <si>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</si>
  <si>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</si>
  <si>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</si>
  <si>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</si>
  <si>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</si>
  <si>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</si>
  <si>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</si>
  <si>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</si>
  <si>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</si>
  <si>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</si>
  <si>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</si>
  <si>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</si>
  <si>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</si>
  <si>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</si>
  <si>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</si>
  <si>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</si>
  <si>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</si>
  <si>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</si>
  <si>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</si>
  <si>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</si>
  <si>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</si>
  <si>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</si>
  <si>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</si>
  <si>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</si>
  <si>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</si>
  <si>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</si>
  <si>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</si>
  <si>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</si>
  <si>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</si>
  <si>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</si>
  <si>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</si>
  <si>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</si>
  <si>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</si>
  <si>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</si>
  <si>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</si>
  <si>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</si>
  <si>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</si>
  <si>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</si>
  <si>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</si>
  <si>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</si>
  <si>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</si>
  <si>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</si>
  <si>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</si>
  <si>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</si>
  <si>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</si>
  <si>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</si>
  <si>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</si>
  <si>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</si>
  <si>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</si>
  <si>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</si>
  <si>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</si>
  <si>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</si>
  <si>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</si>
  <si>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</si>
  <si>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</si>
  <si>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</si>
  <si>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</si>
  <si>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</si>
  <si>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</si>
  <si>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</si>
  <si>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</si>
  <si>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</si>
  <si>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</si>
  <si>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</si>
  <si>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</si>
  <si>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</si>
  <si>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</si>
  <si>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</si>
  <si>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</si>
  <si>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</si>
  <si>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</si>
  <si>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</si>
  <si>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</si>
  <si>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</si>
  <si>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</si>
  <si>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</si>
  <si>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</si>
  <si>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</si>
  <si>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</si>
  <si>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</si>
  <si>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</si>
  <si>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</si>
  <si>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</si>
  <si>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</si>
  <si>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</si>
  <si>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</si>
  <si>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</si>
  <si>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</si>
  <si>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</si>
  <si>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</si>
  <si>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</si>
  <si>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</si>
  <si>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</si>
  <si>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</si>
  <si>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</si>
  <si>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</si>
  <si>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</si>
  <si>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</si>
  <si>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</si>
  <si>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</si>
  <si>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</si>
  <si>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</si>
  <si>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</si>
  <si>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</si>
  <si>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</si>
  <si>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</si>
  <si>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</si>
  <si>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</si>
  <si>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</si>
  <si>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</si>
  <si>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</si>
  <si>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</si>
  <si>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</si>
  <si>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</si>
  <si>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</si>
  <si>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</si>
  <si>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</si>
  <si>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</si>
  <si>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</si>
  <si>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</si>
  <si>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</si>
  <si>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</si>
  <si>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</si>
  <si>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</si>
  <si>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</si>
  <si>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</si>
  <si>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</si>
  <si>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</si>
  <si>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</si>
  <si>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</si>
  <si>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</si>
  <si>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</si>
  <si>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</si>
  <si>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</si>
  <si>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</si>
  <si>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</si>
  <si>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</si>
  <si>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</si>
  <si>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</si>
  <si>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</si>
  <si>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</si>
  <si>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</si>
  <si>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</si>
  <si>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</si>
  <si>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</si>
  <si>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</si>
  <si>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</si>
  <si>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</si>
  <si>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</si>
  <si>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</si>
  <si>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</si>
  <si>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</si>
  <si>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</si>
  <si>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</si>
  <si>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</si>
  <si>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</si>
  <si>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</si>
  <si>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</si>
  <si>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</si>
  <si>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</si>
  <si>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</si>
  <si>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</si>
  <si>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</si>
  <si>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</si>
  <si>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</si>
  <si>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</si>
  <si>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</si>
  <si>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</si>
  <si>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</si>
  <si>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</si>
  <si>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</si>
  <si>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</si>
  <si>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</si>
  <si>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</si>
  <si>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</si>
  <si>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</si>
  <si>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</si>
  <si>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</si>
  <si>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</si>
  <si>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</si>
  <si>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</si>
  <si>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</si>
  <si>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</si>
  <si>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</si>
  <si>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</si>
  <si>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</si>
  <si>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</si>
  <si>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</si>
  <si>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</si>
  <si>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</si>
  <si>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</si>
  <si>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</si>
  <si>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</si>
  <si>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</si>
  <si>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</si>
  <si>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</si>
  <si>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</si>
  <si>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</si>
  <si>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</si>
  <si>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</si>
  <si>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</si>
  <si>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</si>
  <si>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</si>
  <si>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</si>
  <si>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</si>
  <si>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</si>
  <si>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</si>
  <si>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</si>
  <si>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</si>
  <si>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</si>
  <si>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</si>
  <si>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</si>
  <si>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</si>
  <si>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</si>
  <si>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</si>
  <si>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</si>
  <si>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</si>
  <si>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</si>
  <si>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</si>
  <si>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</si>
  <si>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</si>
  <si>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</si>
  <si>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</si>
  <si>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</si>
  <si>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</si>
  <si>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</si>
  <si>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</si>
  <si>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</si>
  <si>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</si>
  <si>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</si>
  <si>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</si>
  <si>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</si>
  <si>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</si>
  <si>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</si>
  <si>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</si>
  <si>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</si>
  <si>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</si>
  <si>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</si>
  <si>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</si>
  <si>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</si>
  <si>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</si>
  <si>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</si>
  <si>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</si>
  <si>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</si>
  <si>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</si>
  <si>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</si>
  <si>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</si>
  <si>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</si>
  <si>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</si>
  <si>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</si>
  <si>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</si>
  <si>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</si>
  <si>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</si>
  <si>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</si>
  <si>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</si>
  <si>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</si>
  <si>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</si>
  <si>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</si>
  <si>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</si>
  <si>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</si>
  <si>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</si>
  <si>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</si>
  <si>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</si>
  <si>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</si>
  <si>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</si>
  <si>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</si>
  <si>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</si>
  <si>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</si>
  <si>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</si>
  <si>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</si>
  <si>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</si>
  <si>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</si>
  <si>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</si>
  <si>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</si>
  <si>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</si>
  <si>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</si>
  <si>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</si>
  <si>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</si>
  <si>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</si>
  <si>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</si>
  <si>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</si>
  <si>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</si>
  <si>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</si>
  <si>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</si>
  <si>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</si>
  <si>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</si>
  <si>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</si>
  <si>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</si>
  <si>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</si>
  <si>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</si>
  <si>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</si>
  <si>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</si>
  <si>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</si>
  <si>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</si>
  <si>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</si>
  <si>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</si>
  <si>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</si>
  <si>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</si>
  <si>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</si>
  <si>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</si>
  <si>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</si>
  <si>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</si>
  <si>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</si>
  <si>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</si>
  <si>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</si>
  <si>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</si>
  <si>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</si>
  <si>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</si>
  <si>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</si>
  <si>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</si>
  <si>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</si>
  <si>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</si>
  <si>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</si>
  <si>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</si>
  <si>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</si>
  <si>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</si>
  <si>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</si>
  <si>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</si>
  <si>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</si>
  <si>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</si>
  <si>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</si>
  <si>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</si>
  <si>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</si>
  <si>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</si>
  <si>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</si>
  <si>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</si>
  <si>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</si>
  <si>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</si>
  <si>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</si>
  <si>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</si>
  <si>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</si>
  <si>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</si>
  <si>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</si>
  <si>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</si>
  <si>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</si>
  <si>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</si>
  <si>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</si>
  <si>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</si>
  <si>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</si>
  <si>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</si>
  <si>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</si>
  <si>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</si>
  <si>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</si>
  <si>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</si>
  <si>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</si>
  <si>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</si>
  <si>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</si>
  <si>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</si>
  <si>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</si>
  <si>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</si>
  <si>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</si>
  <si>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</si>
  <si>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</si>
  <si>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</si>
  <si>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</si>
  <si>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</si>
  <si>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</si>
  <si>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</si>
  <si>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</si>
  <si>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</si>
  <si>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</si>
  <si>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</si>
  <si>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</si>
  <si>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</si>
  <si>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</si>
  <si>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</si>
  <si>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</si>
  <si>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</si>
  <si>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</si>
  <si>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</si>
  <si>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</si>
  <si>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</si>
  <si>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</si>
  <si>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</si>
  <si>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</si>
  <si>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</si>
  <si>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</si>
  <si>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</si>
  <si>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</si>
  <si>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</si>
  <si>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</si>
  <si>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</si>
  <si>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</si>
  <si>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</si>
  <si>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</si>
  <si>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</si>
  <si>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</si>
  <si>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</si>
  <si>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</si>
  <si>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</si>
  <si>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</si>
  <si>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</si>
  <si>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</si>
  <si>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</si>
  <si>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</si>
  <si>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</si>
  <si>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</si>
  <si>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</si>
  <si>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</si>
  <si>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</si>
  <si>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</si>
  <si>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</si>
  <si>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</si>
  <si>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</si>
  <si>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</si>
  <si>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</si>
  <si>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</si>
  <si>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</si>
  <si>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</si>
  <si>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</si>
  <si>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</si>
  <si>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</si>
  <si>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</si>
  <si>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</si>
  <si>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</si>
  <si>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</si>
  <si>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</si>
  <si>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</si>
  <si>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</si>
  <si>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</si>
  <si>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</si>
  <si>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</si>
  <si>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</si>
  <si>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</si>
  <si>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</si>
  <si>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</si>
  <si>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</si>
  <si>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</si>
  <si>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</si>
  <si>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</si>
  <si>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</si>
  <si>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</si>
  <si>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</si>
  <si>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</si>
  <si>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</si>
  <si>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</si>
  <si>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</si>
  <si>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</si>
  <si>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</si>
  <si>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</si>
  <si>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</si>
  <si>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</si>
  <si>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</si>
  <si>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</si>
  <si>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</si>
  <si>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</si>
  <si>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</si>
  <si>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</si>
  <si>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</si>
  <si>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</si>
  <si>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</si>
  <si>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</si>
  <si>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</si>
  <si>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</si>
  <si>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</si>
  <si>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</si>
  <si>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</si>
  <si>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</si>
  <si>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</si>
  <si>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</si>
  <si>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</si>
  <si>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</si>
  <si>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</si>
  <si>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</si>
  <si>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</si>
  <si>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</si>
  <si>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</si>
  <si>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</si>
  <si>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</si>
  <si>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</si>
  <si>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</si>
  <si>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</si>
  <si>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</si>
  <si>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</si>
  <si>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</si>
  <si>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</si>
  <si>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</si>
  <si>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</si>
  <si>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</si>
  <si>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</si>
  <si>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</si>
  <si>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</si>
  <si>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</si>
  <si>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</si>
  <si>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</si>
  <si>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</si>
  <si>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</si>
  <si>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</si>
  <si>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</si>
  <si>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</si>
  <si>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</si>
  <si>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</si>
  <si>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</si>
  <si>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</si>
  <si>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</si>
  <si>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</si>
  <si>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</si>
  <si>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</si>
  <si>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</si>
  <si>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</si>
  <si>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</si>
  <si>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</si>
  <si>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</si>
  <si>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</si>
  <si>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</si>
  <si>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</si>
  <si>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</si>
  <si>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</si>
  <si>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</si>
  <si>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</si>
  <si>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</si>
  <si>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</si>
  <si>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</si>
  <si>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</si>
  <si>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</si>
  <si>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</si>
  <si>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</si>
  <si>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</si>
  <si>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</si>
  <si>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</si>
  <si>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</si>
  <si>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</si>
  <si>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</si>
  <si>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</si>
  <si>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</si>
  <si>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</si>
  <si>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</si>
  <si>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</si>
  <si>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</si>
  <si>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</si>
  <si>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</si>
  <si>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</si>
  <si>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</si>
  <si>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</si>
  <si>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</si>
  <si>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</si>
  <si>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</si>
  <si>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</si>
  <si>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</si>
  <si>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</si>
  <si>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</si>
  <si>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</si>
  <si>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</si>
  <si>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</si>
  <si>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</si>
  <si>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</si>
  <si>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</si>
  <si>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</si>
  <si>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</si>
  <si>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</si>
  <si>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</si>
  <si>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</si>
  <si>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</si>
  <si>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</si>
  <si>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</si>
  <si>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</si>
  <si>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</si>
  <si>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</si>
  <si>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</si>
  <si>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</si>
  <si>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</si>
  <si>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</si>
  <si>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</si>
  <si>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</si>
  <si>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</si>
  <si>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</si>
  <si>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</si>
  <si>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</si>
  <si>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</si>
  <si>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</si>
  <si>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</si>
  <si>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</si>
  <si>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</si>
  <si>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</si>
  <si>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</si>
  <si>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</si>
  <si>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</si>
  <si>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</si>
  <si>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</si>
  <si>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</si>
  <si>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</si>
  <si>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</si>
  <si>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</si>
  <si>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</si>
  <si>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</si>
  <si>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</si>
  <si>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</si>
  <si>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</si>
  <si>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</si>
  <si>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</si>
  <si>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</si>
  <si>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</si>
  <si>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</si>
  <si>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</si>
  <si>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</si>
  <si>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</si>
  <si>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</si>
  <si>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</si>
  <si>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</si>
  <si>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</si>
  <si>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</si>
  <si>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</si>
  <si>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</si>
  <si>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</si>
  <si>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</si>
  <si>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</si>
  <si>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</si>
  <si>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</si>
  <si>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</si>
  <si>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</si>
  <si>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</si>
  <si>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</si>
  <si>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</si>
  <si>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</si>
  <si>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</si>
  <si>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</si>
  <si>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</si>
  <si>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</si>
  <si>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</si>
  <si>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</si>
  <si>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</si>
  <si>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</si>
  <si>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</si>
  <si>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</si>
  <si>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</si>
  <si>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</si>
  <si>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</si>
  <si>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</si>
  <si>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</si>
  <si>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</si>
  <si>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</si>
  <si>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</si>
  <si>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</si>
  <si>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</si>
  <si>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</si>
  <si>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</si>
  <si>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</si>
  <si>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</si>
  <si>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</si>
  <si>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</si>
  <si>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</si>
  <si>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</si>
  <si>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</si>
  <si>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</si>
  <si>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</si>
  <si>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</si>
  <si>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</si>
  <si>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</si>
  <si>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</si>
  <si>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</si>
  <si>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</si>
  <si>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</si>
  <si>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</si>
  <si>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</si>
  <si>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</si>
  <si>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</si>
  <si>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</si>
  <si>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</si>
  <si>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</si>
  <si>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</si>
  <si>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</si>
  <si>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</si>
  <si>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</si>
  <si>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</si>
  <si>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</si>
  <si>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</si>
  <si>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</si>
  <si>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</si>
  <si>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</si>
  <si>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</si>
  <si>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</si>
  <si>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</si>
  <si>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</si>
  <si>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</si>
  <si>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</si>
  <si>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</si>
  <si>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</si>
  <si>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</si>
  <si>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</si>
  <si>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</si>
  <si>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</si>
  <si>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</si>
  <si>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</si>
  <si>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</si>
  <si>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</si>
  <si>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</si>
  <si>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</si>
  <si>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</si>
  <si>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</si>
  <si>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</si>
  <si>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</si>
  <si>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</si>
  <si>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</si>
  <si>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</si>
  <si>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</si>
  <si>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</si>
  <si>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</si>
  <si>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</si>
  <si>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</si>
  <si>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</si>
  <si>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</si>
  <si>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</si>
  <si>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</si>
  <si>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</si>
  <si>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</si>
  <si>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</si>
  <si>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</si>
  <si>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</si>
  <si>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</si>
  <si>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</si>
  <si>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</si>
  <si>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</si>
  <si>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</si>
  <si>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</si>
  <si>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</si>
  <si>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</si>
  <si>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</si>
  <si>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</si>
  <si>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</si>
  <si>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</si>
  <si>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</si>
  <si>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</si>
  <si>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</si>
  <si>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</si>
  <si>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</si>
  <si>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</si>
  <si>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</si>
  <si>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</si>
  <si>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</si>
  <si>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</si>
  <si>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</si>
  <si>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</si>
  <si>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</si>
  <si>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</si>
  <si>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</si>
  <si>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</si>
  <si>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</si>
  <si>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</si>
  <si>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</si>
  <si>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</si>
  <si>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</si>
  <si>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</si>
  <si>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</si>
  <si>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</si>
  <si>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</si>
  <si>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</si>
  <si>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</si>
  <si>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</si>
  <si>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</si>
  <si>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</si>
  <si>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</si>
  <si>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</si>
  <si>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</si>
  <si>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</si>
  <si>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</si>
  <si>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</si>
  <si>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</si>
  <si>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</si>
  <si>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</si>
  <si>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</si>
  <si>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</si>
  <si>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</si>
  <si>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</si>
  <si>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</si>
  <si>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</si>
  <si>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</si>
  <si>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</si>
  <si>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</si>
  <si>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</si>
  <si>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</si>
  <si>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</si>
  <si>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</si>
  <si>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</si>
  <si>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</si>
  <si>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</si>
  <si>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</si>
  <si>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</si>
  <si>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</si>
  <si>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</si>
  <si>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</si>
  <si>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</si>
  <si>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</si>
  <si>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</si>
  <si>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</si>
  <si>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</si>
  <si>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</si>
  <si>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</si>
  <si>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</si>
  <si>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</si>
  <si>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</si>
  <si>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</si>
  <si>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</si>
  <si>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</si>
  <si>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</si>
  <si>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</si>
  <si>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</si>
  <si>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</si>
  <si>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</si>
  <si>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</si>
  <si>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</si>
  <si>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</si>
  <si>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</si>
  <si>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</si>
  <si>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</si>
  <si>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</si>
  <si>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</si>
  <si>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</si>
  <si>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</si>
  <si>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</si>
  <si>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</si>
  <si>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</si>
  <si>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</si>
  <si>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</si>
  <si>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</si>
  <si>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</si>
  <si>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</si>
  <si>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</si>
  <si>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</si>
  <si>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</si>
  <si>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</si>
  <si>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</si>
  <si>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</si>
  <si>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</si>
  <si>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</si>
  <si>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</si>
  <si>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</si>
  <si>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</si>
  <si>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</si>
  <si>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</si>
  <si>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</si>
  <si>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</si>
  <si>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</si>
  <si>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</si>
  <si>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</si>
  <si>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</si>
  <si>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</si>
  <si>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</si>
  <si>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</si>
  <si>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</si>
  <si>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</si>
  <si>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</si>
  <si>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</si>
  <si>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</si>
  <si>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</si>
  <si>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</si>
  <si>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</si>
  <si>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</si>
  <si>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</si>
  <si>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</si>
  <si>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</si>
  <si>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</si>
  <si>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</si>
  <si>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</si>
  <si>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</si>
  <si>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</si>
  <si>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</si>
  <si>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</si>
  <si>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</si>
  <si>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</si>
  <si>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</si>
  <si>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</si>
  <si>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</si>
  <si>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</si>
  <si>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</si>
  <si>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</si>
  <si>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</si>
  <si>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</si>
  <si>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</si>
  <si>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</si>
  <si>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</si>
  <si>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</si>
  <si>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</si>
  <si>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</si>
  <si>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</si>
  <si>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</si>
  <si>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</si>
  <si>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</si>
  <si>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</si>
  <si>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</si>
  <si>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</si>
  <si>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</si>
  <si>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</si>
  <si>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</si>
  <si>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</si>
  <si>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</si>
  <si>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</si>
  <si>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</si>
  <si>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</si>
  <si>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</si>
  <si>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</si>
  <si>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</si>
  <si>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</si>
  <si>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</si>
  <si>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</si>
  <si>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</si>
  <si>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</si>
  <si>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</si>
  <si>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</si>
  <si>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</si>
  <si>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</si>
  <si>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</si>
  <si>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</si>
  <si>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</si>
  <si>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</si>
  <si>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</si>
  <si>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</si>
  <si>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</si>
  <si>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</si>
  <si>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</si>
  <si>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</si>
  <si>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</si>
  <si>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</si>
  <si>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</si>
  <si>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</si>
  <si>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</si>
  <si>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</si>
  <si>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</si>
  <si>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</si>
  <si>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</si>
  <si>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</si>
  <si>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</si>
  <si>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</si>
  <si>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</si>
  <si>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</si>
  <si>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</si>
  <si>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</si>
  <si>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</si>
  <si>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</si>
  <si>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</si>
  <si>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</si>
  <si>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</si>
  <si>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</si>
  <si>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</si>
  <si>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</si>
  <si>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</si>
  <si>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</si>
  <si>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</si>
  <si>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</si>
  <si>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</si>
  <si>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</si>
  <si>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</si>
  <si>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</si>
  <si>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</si>
  <si>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</si>
  <si>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</si>
  <si>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</si>
  <si>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</si>
  <si>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</si>
  <si>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</si>
  <si>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</si>
  <si>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</si>
  <si>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</si>
  <si>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</si>
  <si>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</si>
  <si>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</si>
  <si>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</si>
  <si>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</si>
  <si>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</si>
  <si>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</si>
  <si>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</si>
  <si>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</si>
  <si>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</si>
  <si>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</si>
  <si>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</si>
  <si>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</si>
  <si>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</si>
  <si>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</si>
  <si>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</si>
  <si>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</si>
  <si>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</si>
  <si>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</si>
  <si>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</si>
  <si>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</si>
  <si>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</si>
  <si>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</si>
  <si>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</si>
  <si>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</si>
  <si>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</si>
  <si>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</si>
  <si>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</si>
  <si>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</si>
  <si>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</si>
  <si>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</si>
  <si>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</si>
  <si>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</si>
  <si>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</si>
  <si>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</si>
  <si>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</si>
  <si>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</si>
  <si>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</si>
  <si>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</si>
  <si>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</si>
  <si>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</si>
  <si>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</si>
  <si>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</si>
  <si>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</si>
  <si>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</si>
  <si>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</si>
  <si>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</si>
  <si>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</si>
  <si>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</si>
  <si>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</si>
  <si>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</si>
  <si>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</si>
  <si>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</si>
  <si>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</si>
  <si>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</si>
  <si>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</si>
  <si>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</si>
  <si>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</si>
  <si>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</si>
  <si>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</si>
  <si>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</si>
  <si>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</si>
  <si>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</si>
  <si>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</si>
  <si>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</si>
  <si>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</si>
  <si>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</si>
  <si>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</si>
  <si>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</si>
  <si>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</si>
  <si>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</si>
  <si>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</si>
  <si>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</si>
  <si>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</si>
  <si>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</si>
  <si>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</si>
  <si>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</si>
  <si>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</si>
  <si>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</si>
  <si>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</si>
  <si>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</si>
  <si>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</si>
  <si>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</si>
  <si>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</si>
  <si>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</si>
  <si>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</si>
  <si>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</si>
  <si>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</si>
  <si>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</si>
  <si>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</si>
  <si>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</si>
  <si>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</si>
  <si>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</si>
  <si>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</si>
  <si>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</si>
  <si>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</si>
  <si>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</si>
  <si>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</si>
  <si>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</si>
  <si>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</si>
  <si>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</si>
  <si>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</si>
  <si>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</si>
  <si>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</si>
  <si>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</si>
  <si>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</si>
  <si>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</si>
  <si>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</si>
  <si>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</si>
  <si>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</si>
  <si>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</si>
  <si>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</si>
  <si>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</si>
  <si>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</si>
  <si>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</si>
  <si>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</si>
  <si>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</si>
  <si>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</si>
  <si>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</si>
  <si>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</si>
  <si>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</si>
  <si>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</si>
  <si>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</si>
  <si>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</si>
  <si>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</si>
  <si>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</si>
  <si>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</si>
  <si>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</si>
  <si>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</si>
  <si>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</si>
  <si>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</si>
  <si>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</si>
  <si>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</si>
  <si>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</si>
  <si>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</si>
  <si>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</si>
  <si>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</si>
  <si>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</si>
  <si>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</si>
  <si>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</si>
  <si>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</si>
  <si>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</si>
  <si>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</si>
  <si>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</si>
  <si>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</si>
  <si>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</si>
  <si>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</si>
  <si>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</si>
  <si>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</si>
  <si>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</si>
  <si>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</si>
  <si>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</si>
  <si>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</si>
  <si>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</si>
  <si>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</si>
  <si>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</si>
  <si>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</si>
  <si>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</si>
  <si>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</si>
  <si>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</si>
  <si>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</si>
  <si>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</si>
  <si>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</si>
  <si>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</si>
  <si>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</si>
  <si>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</si>
  <si>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</si>
  <si>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</si>
  <si>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</si>
  <si>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</si>
  <si>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</si>
  <si>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</si>
  <si>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</si>
  <si>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</si>
  <si>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</si>
  <si>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</si>
  <si>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</si>
  <si>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</si>
  <si>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</si>
  <si>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</si>
  <si>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</si>
  <si>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</si>
  <si>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</si>
  <si>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</si>
  <si>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</si>
  <si>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</si>
  <si>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</si>
  <si>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</si>
  <si>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</si>
  <si>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</si>
  <si>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</si>
  <si>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</si>
  <si>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</si>
  <si>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</si>
  <si>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</si>
  <si>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</si>
  <si>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</si>
  <si>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</si>
  <si>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</si>
  <si>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</si>
  <si>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</si>
  <si>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</si>
  <si>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</si>
  <si>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</si>
  <si>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</si>
  <si>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</si>
  <si>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</si>
  <si>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</si>
  <si>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</si>
  <si>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</si>
  <si>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</si>
  <si>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</si>
  <si>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</si>
  <si>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</si>
  <si>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</si>
  <si>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</si>
  <si>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</si>
  <si>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</si>
  <si>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</si>
  <si>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</si>
  <si>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</si>
  <si>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</si>
  <si>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</si>
  <si>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</si>
  <si>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</si>
  <si>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</si>
  <si>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</si>
  <si>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</si>
  <si>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</si>
  <si>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</si>
  <si>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</si>
  <si>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</si>
  <si>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</si>
  <si>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</si>
  <si>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</si>
  <si>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</si>
  <si>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</si>
  <si>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</si>
  <si>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</si>
  <si>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</si>
  <si>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</si>
  <si>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</si>
  <si>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</si>
  <si>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</si>
  <si>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</si>
  <si>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</si>
  <si>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</si>
  <si>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</si>
  <si>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</si>
  <si>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</si>
  <si>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</si>
  <si>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</si>
  <si>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</si>
  <si>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</si>
  <si>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</si>
  <si>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</si>
  <si>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</si>
  <si>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</si>
  <si>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</si>
  <si>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</si>
  <si>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</si>
  <si>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</si>
  <si>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</si>
  <si>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</si>
  <si>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</si>
  <si>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</si>
  <si>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</si>
  <si>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</si>
  <si>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</si>
  <si>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</si>
  <si>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</si>
  <si>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</si>
  <si>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</si>
  <si>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</si>
  <si>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</si>
  <si>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</si>
  <si>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</si>
  <si>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</si>
  <si>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</si>
  <si>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</si>
  <si>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</si>
  <si>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</si>
  <si>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</si>
  <si>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</si>
  <si>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</si>
  <si>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</si>
  <si>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</si>
  <si>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</si>
  <si>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</si>
  <si>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</si>
  <si>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</si>
  <si>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</si>
  <si>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</si>
  <si>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</si>
  <si>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</si>
  <si>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</si>
  <si>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</si>
  <si>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</si>
  <si>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</si>
  <si>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</si>
  <si>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</si>
  <si>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</si>
  <si>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</si>
  <si>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</si>
  <si>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</si>
  <si>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</si>
  <si>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</si>
  <si>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</si>
  <si>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</si>
  <si>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</si>
  <si>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</si>
  <si>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</si>
  <si>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</si>
  <si>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</si>
  <si>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</si>
  <si>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</si>
  <si>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</si>
  <si>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</si>
  <si>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</si>
  <si>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</si>
  <si>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</si>
  <si>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</si>
  <si>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</si>
  <si>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</si>
  <si>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</si>
  <si>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</si>
  <si>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</si>
  <si>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</si>
  <si>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</si>
  <si>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</si>
  <si>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</si>
  <si>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</si>
  <si>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</si>
  <si>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</si>
  <si>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</si>
  <si>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</si>
  <si>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</si>
  <si>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</si>
  <si>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</si>
  <si>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</si>
  <si>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</si>
  <si>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</si>
  <si>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</si>
  <si>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</si>
  <si>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</si>
  <si>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</si>
  <si>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</si>
  <si>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</si>
  <si>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</si>
  <si>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</si>
  <si>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</si>
  <si>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</si>
  <si>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</si>
  <si>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</si>
  <si>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</si>
  <si>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</si>
  <si>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</si>
  <si>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</si>
  <si>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</si>
  <si>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</si>
  <si>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</si>
  <si>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</si>
  <si>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</si>
  <si>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</si>
  <si>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</si>
  <si>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</si>
  <si>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</si>
  <si>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</si>
  <si>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</si>
  <si>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</si>
  <si>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</si>
  <si>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</si>
  <si>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</si>
  <si>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</si>
  <si>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</si>
  <si>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</si>
  <si>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</si>
  <si>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</si>
  <si>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</si>
  <si>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</si>
  <si>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</si>
  <si>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</si>
  <si>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</si>
  <si>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</si>
  <si>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</si>
  <si>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</si>
  <si>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</si>
  <si>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</si>
  <si>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</si>
  <si>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</si>
  <si>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</si>
  <si>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</si>
  <si>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</si>
  <si>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</si>
  <si>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</si>
  <si>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</si>
  <si>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</si>
  <si>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</si>
  <si>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</si>
  <si>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</si>
  <si>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</si>
  <si>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</si>
  <si>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</si>
  <si>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</si>
  <si>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</si>
  <si>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</si>
  <si>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</si>
  <si>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</si>
  <si>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</si>
  <si>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</si>
  <si>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</si>
  <si>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</si>
  <si>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</si>
  <si>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</si>
  <si>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</si>
  <si>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</si>
  <si>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</si>
  <si>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</si>
  <si>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</si>
  <si>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</si>
  <si>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</si>
  <si>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</si>
  <si>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</si>
  <si>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</si>
  <si>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</si>
  <si>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</si>
  <si>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</si>
  <si>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</si>
  <si>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</si>
  <si>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</si>
  <si>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</si>
  <si>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</si>
  <si>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</si>
  <si>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</si>
  <si>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</si>
  <si>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</si>
  <si>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</si>
  <si>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</si>
  <si>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</si>
  <si>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</si>
  <si>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</si>
  <si>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</si>
  <si>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</si>
  <si>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</si>
  <si>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</si>
  <si>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</si>
  <si>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</si>
  <si>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</si>
  <si>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</si>
  <si>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</si>
  <si>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</si>
  <si>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</si>
  <si>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</si>
  <si>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</si>
  <si>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</si>
  <si>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</si>
  <si>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</si>
  <si>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</si>
  <si>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</si>
  <si>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</si>
  <si>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</si>
  <si>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</si>
  <si>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</si>
  <si>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</si>
  <si>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</si>
  <si>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</si>
  <si>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</si>
  <si>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</si>
  <si>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</si>
  <si>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</si>
  <si>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</si>
  <si>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</si>
  <si>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</si>
  <si>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</si>
  <si>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</si>
  <si>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</si>
  <si>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</si>
  <si>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</si>
  <si>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</si>
  <si>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</si>
  <si>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</si>
  <si>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</si>
  <si>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</si>
  <si>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</si>
  <si>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</si>
  <si>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</si>
  <si>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</si>
  <si>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</si>
  <si>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</si>
  <si>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</si>
  <si>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</si>
  <si>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</si>
  <si>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</si>
  <si>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</si>
  <si>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</si>
  <si>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</si>
  <si>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</si>
  <si>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</si>
  <si>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</si>
  <si>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</si>
  <si>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</si>
  <si>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</si>
  <si>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</si>
  <si>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</si>
  <si>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</si>
  <si>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</si>
  <si>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</si>
  <si>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</si>
  <si>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</si>
  <si>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</si>
  <si>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</si>
  <si>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</si>
  <si>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</si>
  <si>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</si>
  <si>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</si>
  <si>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</si>
  <si>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</si>
  <si>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</si>
  <si>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</si>
  <si>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</si>
  <si>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</si>
  <si>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</si>
  <si>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</si>
  <si>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</si>
  <si>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</si>
  <si>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</si>
  <si>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</si>
  <si>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</si>
  <si>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</si>
  <si>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</si>
  <si>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</si>
  <si>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</si>
  <si>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</si>
  <si>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</si>
  <si>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</si>
  <si>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</si>
  <si>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</si>
  <si>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</si>
  <si>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</si>
  <si>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</si>
  <si>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</si>
  <si>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</si>
  <si>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</si>
  <si>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</si>
  <si>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</si>
  <si>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</si>
  <si>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</si>
  <si>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</si>
  <si>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</si>
  <si>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</si>
  <si>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</si>
  <si>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</si>
  <si>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</si>
  <si>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</si>
  <si>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</si>
  <si>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</si>
  <si>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</si>
  <si>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</si>
  <si>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</si>
  <si>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</si>
  <si>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</si>
  <si>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</si>
  <si>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</si>
  <si>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</si>
  <si>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</si>
  <si>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</si>
  <si>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</si>
  <si>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</si>
  <si>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</si>
  <si>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</si>
  <si>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</si>
  <si>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</si>
  <si>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</si>
  <si>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</si>
  <si>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</si>
  <si>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</si>
  <si>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</si>
  <si>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</si>
  <si>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</si>
  <si>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</si>
  <si>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</si>
  <si>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</si>
  <si>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</si>
  <si>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</si>
  <si>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</si>
  <si>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</si>
  <si>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</si>
  <si>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</si>
  <si>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</si>
  <si>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</si>
  <si>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</si>
  <si>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</si>
  <si>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</si>
  <si>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</si>
  <si>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</si>
  <si>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</si>
  <si>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</si>
  <si>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</si>
  <si>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</si>
  <si>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</si>
  <si>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</si>
  <si>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</si>
  <si>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</si>
  <si>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</si>
  <si>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</si>
  <si>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</si>
  <si>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</si>
  <si>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</si>
  <si>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</si>
  <si>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</si>
  <si>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</si>
  <si>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</si>
  <si>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</si>
  <si>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</si>
  <si>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</si>
  <si>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</si>
  <si>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</si>
  <si>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</si>
  <si>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</si>
  <si>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</si>
  <si>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</si>
  <si>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</si>
  <si>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</si>
  <si>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</si>
  <si>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</si>
  <si>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</si>
  <si>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</si>
  <si>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</si>
  <si>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</si>
  <si>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</si>
  <si>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</si>
  <si>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</si>
  <si>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</si>
  <si>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</si>
  <si>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</si>
  <si>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</si>
  <si>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</si>
  <si>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</si>
  <si>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</si>
  <si>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</si>
  <si>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</si>
  <si>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</si>
  <si>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</si>
  <si>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</si>
  <si>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</si>
  <si>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</si>
  <si>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</si>
  <si>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</si>
  <si>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</si>
  <si>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</si>
  <si>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</si>
  <si>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</si>
  <si>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</si>
  <si>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</si>
  <si>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</si>
  <si>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</si>
  <si>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</si>
  <si>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</si>
  <si>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</si>
  <si>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</si>
  <si>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</si>
  <si>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</si>
  <si>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</si>
  <si>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</si>
  <si>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</si>
  <si>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</si>
  <si>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</si>
  <si>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</si>
  <si>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</si>
  <si>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</si>
  <si>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</si>
  <si>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</si>
  <si>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</si>
  <si>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</si>
  <si>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</si>
  <si>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</si>
  <si>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</si>
  <si>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</si>
  <si>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</si>
  <si>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</si>
  <si>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</si>
  <si>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</si>
  <si>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</si>
  <si>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</si>
  <si>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</si>
  <si>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</si>
  <si>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</si>
  <si>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</si>
  <si>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</si>
  <si>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</si>
  <si>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</si>
  <si>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</si>
  <si>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</si>
  <si>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</si>
  <si>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</si>
  <si>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</si>
  <si>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</si>
  <si>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</si>
  <si>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</si>
  <si>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</si>
  <si>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</si>
  <si>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</si>
  <si>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</si>
  <si>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</si>
  <si>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</si>
  <si>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</si>
  <si>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</si>
  <si>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</si>
  <si>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</si>
  <si>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</si>
  <si>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</si>
  <si>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</si>
  <si>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</si>
  <si>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</si>
  <si>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</si>
  <si>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</si>
  <si>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</si>
  <si>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</si>
  <si>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</si>
  <si>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</si>
  <si>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</si>
  <si>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</si>
  <si>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</si>
  <si>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</si>
  <si>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</si>
  <si>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</si>
  <si>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</si>
  <si>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</si>
  <si>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</si>
  <si>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</si>
  <si>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</si>
  <si>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</si>
  <si>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</si>
  <si>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</si>
  <si>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</si>
  <si>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</si>
  <si>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</si>
  <si>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</si>
  <si>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</si>
  <si>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</si>
  <si>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</si>
  <si>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</si>
  <si>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</si>
  <si>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</si>
  <si>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</si>
  <si>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</si>
  <si>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</si>
  <si>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</si>
  <si>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</si>
  <si>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</si>
  <si>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</si>
  <si>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</si>
  <si>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</si>
  <si>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</si>
  <si>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</si>
  <si>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</si>
  <si>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</si>
  <si>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</si>
  <si>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</si>
  <si>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</si>
  <si>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</si>
  <si>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</si>
  <si>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</si>
  <si>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</si>
  <si>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</si>
  <si>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</si>
  <si>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</si>
  <si>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</si>
  <si>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</si>
  <si>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</si>
  <si>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</si>
  <si>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</si>
  <si>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</si>
  <si>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</si>
  <si>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</si>
  <si>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</si>
  <si>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</si>
  <si>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</si>
  <si>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</si>
  <si>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</si>
  <si>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</si>
  <si>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</si>
  <si>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</si>
  <si>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</si>
  <si>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</si>
  <si>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</si>
  <si>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</si>
  <si>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</si>
  <si>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</si>
  <si>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</si>
  <si>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</si>
  <si>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</si>
  <si>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</si>
  <si>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</si>
  <si>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</si>
  <si>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</si>
  <si>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</si>
  <si>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</si>
  <si>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</si>
  <si>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</si>
  <si>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</si>
  <si>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</si>
  <si>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</si>
  <si>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</si>
  <si>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</si>
  <si>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</si>
  <si>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</si>
  <si>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</si>
  <si>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</si>
  <si>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</si>
  <si>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</si>
  <si>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</si>
  <si>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</si>
  <si>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</si>
  <si>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</si>
  <si>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</si>
  <si>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</si>
  <si>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</si>
  <si>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</si>
  <si>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</si>
  <si>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</si>
  <si>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</si>
  <si>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</si>
  <si>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</si>
  <si>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</si>
  <si>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</si>
  <si>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</si>
  <si>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</si>
  <si>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</si>
  <si>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</si>
  <si>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</si>
  <si>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</si>
  <si>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</si>
  <si>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</si>
  <si>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</si>
  <si>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</si>
  <si>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</si>
  <si>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</si>
  <si>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</si>
  <si>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</si>
  <si>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</si>
  <si>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</si>
  <si>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</si>
  <si>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</si>
  <si>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</si>
  <si>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</si>
  <si>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</si>
  <si>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</si>
  <si>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</si>
  <si>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</si>
  <si>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</si>
  <si>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</si>
  <si>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</si>
  <si>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</si>
  <si>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</si>
  <si>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</si>
  <si>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</si>
  <si>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</si>
  <si>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</si>
  <si>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</si>
  <si>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</si>
  <si>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</si>
  <si>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</si>
  <si>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</si>
  <si>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</si>
  <si>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</si>
  <si>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</si>
  <si>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</si>
  <si>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</si>
  <si>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</si>
  <si>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</si>
  <si>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</si>
  <si>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</si>
  <si>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</si>
  <si>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</si>
  <si>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</si>
  <si>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</si>
  <si>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</si>
  <si>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</si>
  <si>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</si>
  <si>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</si>
  <si>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</si>
  <si>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</si>
  <si>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</si>
  <si>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</si>
  <si>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</si>
  <si>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</si>
  <si>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</si>
  <si>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</si>
  <si>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</si>
  <si>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</si>
  <si>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</si>
  <si>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</si>
  <si>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</si>
  <si>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</si>
  <si>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</si>
  <si>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</si>
  <si>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</si>
  <si>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</si>
  <si>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</si>
  <si>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</si>
  <si>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</si>
  <si>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</si>
  <si>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</si>
  <si>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</si>
  <si>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</si>
  <si>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</si>
  <si>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</si>
  <si>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</si>
  <si>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</si>
  <si>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</si>
  <si>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</si>
  <si>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</si>
  <si>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</si>
  <si>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</si>
  <si>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</si>
  <si>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</si>
  <si>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</si>
  <si>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</si>
  <si>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</si>
  <si>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</si>
  <si>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</si>
  <si>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</si>
  <si>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</si>
  <si>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</si>
  <si>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</si>
  <si>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</si>
  <si>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</si>
  <si>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</si>
  <si>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</si>
  <si>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</si>
  <si>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</si>
  <si>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</si>
  <si>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</si>
  <si>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</si>
  <si>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</si>
  <si>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</si>
  <si>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</si>
  <si>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</si>
  <si>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</si>
  <si>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</si>
  <si>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</si>
  <si>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</si>
  <si>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</si>
  <si>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</si>
  <si>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</si>
  <si>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</si>
  <si>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</si>
  <si>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</si>
  <si>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</si>
  <si>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</si>
  <si>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</si>
  <si>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</si>
  <si>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</si>
  <si>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</si>
  <si>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</si>
  <si>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</si>
  <si>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</si>
  <si>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</si>
  <si>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</si>
  <si>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</si>
  <si>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</si>
  <si>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</si>
  <si>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</si>
  <si>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</si>
  <si>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</si>
  <si>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</si>
  <si>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</si>
  <si>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</si>
  <si>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</si>
  <si>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</si>
  <si>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</si>
  <si>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</si>
  <si>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</si>
  <si>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</si>
  <si>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</si>
  <si>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</si>
  <si>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</si>
  <si>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</si>
  <si>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</si>
  <si>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</si>
  <si>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</si>
  <si>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</si>
  <si>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</si>
  <si>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</si>
  <si>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</si>
  <si>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</si>
  <si>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</si>
  <si>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</si>
  <si>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</si>
  <si>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</si>
  <si>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</si>
  <si>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</si>
  <si>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</si>
  <si>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</si>
  <si>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</si>
  <si>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</si>
  <si>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</si>
  <si>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</si>
  <si>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</si>
  <si>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</si>
  <si>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</si>
  <si>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</si>
  <si>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</si>
  <si>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</si>
  <si>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</si>
  <si>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</si>
  <si>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</si>
  <si>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</si>
  <si>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</si>
  <si>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</si>
  <si>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</si>
  <si>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</si>
  <si>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</si>
  <si>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</si>
  <si>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</si>
  <si>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</si>
  <si>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</si>
  <si>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</si>
  <si>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</si>
  <si>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</si>
  <si>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</si>
  <si>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</si>
  <si>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</si>
  <si>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</si>
  <si>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</si>
  <si>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</si>
  <si>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</si>
  <si>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</si>
  <si>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</si>
  <si>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</si>
  <si>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</si>
  <si>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</si>
  <si>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</si>
  <si>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</si>
  <si>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</si>
  <si>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</si>
  <si>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</si>
  <si>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</si>
  <si>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</si>
  <si>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</si>
  <si>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</si>
  <si>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</si>
  <si>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</si>
  <si>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</si>
  <si>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</si>
  <si>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</si>
  <si>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</si>
  <si>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</si>
  <si>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</si>
  <si>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</si>
  <si>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</si>
  <si>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</si>
  <si>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</si>
  <si>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</si>
  <si>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</si>
  <si>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</si>
  <si>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</si>
  <si>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</si>
  <si>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</si>
  <si>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</si>
  <si>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</si>
  <si>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</si>
  <si>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</si>
  <si>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</si>
  <si>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</si>
  <si>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</si>
  <si>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</si>
  <si>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</si>
  <si>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</si>
  <si>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</si>
  <si>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</si>
  <si>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</si>
  <si>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</si>
  <si>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</si>
  <si>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</si>
  <si>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</si>
  <si>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</si>
  <si>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</si>
  <si>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</si>
  <si>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</si>
  <si>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</si>
  <si>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</si>
  <si>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</si>
  <si>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</si>
  <si>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</si>
  <si>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</si>
  <si>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</si>
  <si>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</si>
  <si>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</si>
  <si>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</si>
  <si>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</si>
  <si>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</si>
  <si>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</si>
  <si>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</si>
  <si>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</si>
  <si>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</si>
  <si>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</si>
  <si>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</si>
  <si>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</si>
  <si>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</si>
  <si>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</si>
  <si>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</si>
  <si>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</si>
  <si>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</si>
  <si>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</si>
  <si>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</si>
  <si>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</si>
  <si>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</si>
  <si>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</si>
  <si>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</si>
  <si>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</si>
  <si>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</si>
  <si>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</si>
  <si>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</si>
  <si>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</si>
  <si>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</si>
  <si>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</si>
  <si>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</si>
  <si>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</si>
  <si>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</si>
  <si>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</si>
  <si>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</si>
  <si>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</si>
  <si>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</si>
  <si>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</si>
  <si>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</si>
  <si>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</si>
  <si>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</si>
  <si>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</si>
  <si>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</si>
  <si>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</si>
  <si>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</si>
  <si>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</si>
  <si>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</si>
  <si>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</si>
  <si>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</si>
  <si>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</si>
  <si>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</si>
  <si>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</si>
  <si>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</si>
  <si>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</si>
  <si>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</si>
  <si>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</si>
  <si>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</si>
  <si>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</si>
  <si>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</si>
  <si>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</si>
  <si>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</si>
  <si>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</si>
  <si>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</si>
  <si>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</si>
  <si>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</si>
  <si>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</si>
  <si>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</si>
  <si>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</si>
  <si>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</si>
  <si>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</si>
  <si>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</si>
  <si>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</si>
  <si>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</si>
  <si>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</si>
  <si>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</si>
  <si>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</si>
  <si>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</si>
  <si>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</si>
  <si>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</si>
  <si>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</si>
  <si>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</si>
  <si>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</si>
  <si>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</si>
  <si>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</si>
  <si>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</si>
  <si>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</si>
  <si>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</si>
  <si>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</si>
  <si>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</si>
  <si>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</si>
  <si>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</si>
  <si>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</si>
  <si>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</si>
  <si>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</si>
  <si>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</si>
  <si>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</si>
  <si>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</si>
  <si>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</si>
  <si>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</si>
  <si>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</si>
  <si>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</si>
  <si>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</si>
  <si>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</si>
  <si>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</si>
  <si>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</si>
  <si>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</si>
  <si>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</si>
  <si>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</si>
  <si>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</si>
  <si>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</si>
  <si>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</si>
  <si>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</si>
  <si>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</si>
  <si>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</si>
  <si>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</si>
  <si>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</si>
  <si>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</si>
  <si>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</si>
  <si>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</si>
  <si>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</si>
  <si>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</si>
  <si>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</si>
  <si>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</si>
  <si>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</si>
  <si>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</si>
  <si>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</si>
  <si>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</si>
  <si>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</si>
  <si>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</si>
  <si>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</si>
  <si>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</si>
  <si>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</si>
  <si>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</si>
  <si>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</si>
  <si>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</si>
  <si>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</si>
  <si>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</si>
  <si>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</si>
  <si>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</si>
  <si>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</si>
  <si>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</si>
  <si>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</si>
  <si>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</si>
  <si>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</si>
  <si>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</si>
  <si>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</si>
  <si>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</si>
  <si>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</si>
  <si>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</si>
  <si>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</si>
  <si>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</si>
  <si>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</si>
  <si>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</si>
  <si>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</si>
  <si>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</si>
  <si>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</si>
  <si>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</si>
  <si>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</si>
  <si>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</si>
  <si>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</si>
  <si>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</si>
  <si>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</si>
  <si>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</si>
  <si>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</si>
  <si>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</si>
  <si>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</si>
  <si>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</si>
  <si>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</si>
  <si>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</si>
  <si>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</si>
  <si>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</si>
  <si>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</si>
  <si>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</si>
  <si>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</si>
  <si>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</si>
  <si>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</si>
  <si>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</si>
  <si>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</si>
  <si>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</si>
  <si>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</si>
  <si>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</si>
  <si>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</si>
  <si>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</si>
  <si>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</si>
  <si>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</si>
  <si>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</si>
  <si>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</si>
  <si>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</si>
  <si>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</si>
  <si>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</si>
  <si>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</si>
  <si>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</si>
  <si>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</si>
  <si>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</si>
  <si>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</si>
  <si>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</si>
  <si>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</si>
  <si>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</si>
  <si>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</si>
  <si>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</si>
  <si>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</si>
  <si>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</si>
  <si>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</si>
  <si>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</si>
  <si>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</si>
  <si>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</si>
  <si>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</si>
  <si>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</si>
  <si>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</si>
  <si>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</si>
  <si>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</si>
  <si>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</si>
  <si>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</si>
  <si>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</si>
  <si>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</si>
  <si>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</si>
  <si>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</si>
  <si>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</si>
  <si>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</si>
  <si>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</si>
  <si>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</si>
  <si>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</si>
  <si>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</si>
  <si>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</si>
  <si>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</si>
  <si>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</si>
  <si>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</si>
  <si>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</si>
  <si>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</si>
  <si>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</si>
  <si>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</si>
  <si>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</si>
  <si>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</si>
  <si>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</si>
  <si>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</si>
  <si>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</si>
  <si>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</si>
  <si>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</si>
  <si>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</si>
  <si>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</si>
  <si>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</si>
  <si>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</si>
  <si>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</si>
  <si>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</si>
  <si>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</si>
  <si>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</si>
  <si>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</si>
  <si>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</si>
  <si>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</si>
  <si>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</si>
  <si>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</si>
  <si>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</si>
  <si>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</si>
  <si>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</si>
  <si>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</si>
  <si>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</si>
  <si>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</si>
  <si>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</si>
  <si>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</si>
  <si>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</si>
  <si>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</si>
  <si>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</si>
  <si>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</si>
  <si>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</si>
  <si>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</si>
  <si>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</si>
  <si>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</si>
  <si>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</si>
  <si>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</si>
  <si>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</si>
  <si>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</si>
  <si>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</si>
  <si>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</si>
  <si>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</si>
  <si>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</si>
  <si>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</si>
  <si>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</si>
  <si>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</si>
  <si>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</si>
  <si>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</si>
  <si>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</si>
  <si>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</si>
  <si>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</si>
  <si>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</si>
  <si>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</si>
  <si>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</si>
  <si>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</si>
  <si>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</si>
  <si>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</si>
  <si>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</si>
  <si>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</si>
  <si>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</si>
  <si>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</si>
  <si>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</si>
  <si>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</si>
  <si>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</si>
  <si>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</si>
  <si>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</si>
  <si>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</si>
  <si>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</si>
  <si>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</si>
  <si>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</si>
  <si>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</si>
  <si>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</si>
  <si>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</si>
  <si>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</si>
  <si>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</si>
  <si>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</si>
  <si>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</si>
  <si>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</si>
  <si>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</si>
  <si>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</si>
  <si>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</si>
  <si>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</si>
  <si>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</si>
  <si>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</si>
  <si>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</si>
  <si>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</si>
  <si>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</si>
  <si>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</si>
  <si>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</si>
  <si>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</si>
  <si>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</si>
  <si>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</si>
  <si>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</si>
  <si>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</si>
  <si>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</si>
  <si>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</si>
  <si>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</si>
  <si>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</si>
  <si>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</si>
  <si>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</si>
  <si>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</si>
  <si>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</si>
  <si>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</si>
  <si>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</si>
  <si>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</si>
  <si>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</si>
  <si>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</si>
  <si>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</si>
  <si>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</si>
  <si>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</si>
  <si>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</si>
  <si>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</si>
  <si>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</si>
  <si>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</si>
  <si>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</si>
  <si>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</si>
  <si>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</si>
  <si>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</si>
  <si>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</si>
  <si>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</si>
  <si>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</si>
  <si>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</si>
  <si>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</si>
  <si>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</si>
  <si>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</si>
  <si>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</si>
  <si>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</si>
  <si>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</si>
  <si>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</si>
  <si>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</si>
  <si>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</si>
  <si>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</si>
  <si>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</si>
  <si>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</si>
  <si>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</si>
  <si>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</si>
  <si>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</si>
  <si>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</si>
  <si>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</si>
  <si>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</si>
  <si>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</si>
  <si>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</si>
  <si>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</si>
  <si>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</si>
  <si>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</si>
  <si>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</si>
  <si>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</si>
  <si>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</si>
  <si>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</si>
  <si>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</si>
  <si>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</si>
  <si>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</si>
  <si>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</si>
  <si>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</si>
  <si>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</si>
  <si>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</si>
  <si>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</si>
  <si>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</si>
  <si>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</si>
  <si>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</si>
  <si>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</si>
  <si>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</si>
  <si>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</si>
  <si>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</si>
  <si>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</si>
  <si>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</si>
  <si>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</si>
  <si>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</si>
  <si>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</si>
  <si>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</si>
  <si>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</si>
  <si>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</si>
  <si>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</si>
  <si>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</si>
  <si>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</si>
  <si>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</si>
  <si>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</si>
  <si>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</si>
  <si>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</si>
  <si>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</si>
  <si>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</si>
  <si>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</si>
  <si>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</si>
  <si>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</si>
  <si>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</si>
  <si>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</si>
  <si>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</si>
  <si>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</si>
  <si>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</si>
  <si>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</si>
  <si>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</si>
  <si>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</si>
  <si>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</si>
  <si>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</si>
  <si>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</si>
  <si>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</si>
  <si>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</si>
  <si>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</si>
  <si>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</si>
  <si>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</si>
  <si>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</si>
  <si>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</si>
  <si>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</si>
  <si>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</si>
  <si>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</si>
  <si>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</si>
  <si>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</si>
  <si>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</si>
  <si>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</si>
  <si>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</si>
  <si>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</si>
  <si>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</si>
  <si>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</si>
  <si>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</si>
  <si>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</si>
  <si>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</si>
  <si>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</si>
  <si>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</si>
  <si>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</si>
  <si>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</si>
  <si>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</si>
  <si>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</si>
  <si>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</si>
  <si>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</si>
  <si>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</si>
  <si>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</si>
  <si>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</si>
  <si>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</si>
  <si>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</si>
  <si>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</si>
  <si>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</si>
  <si>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</si>
  <si>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</si>
  <si>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</si>
  <si>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</si>
  <si>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</si>
  <si>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</si>
  <si>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</si>
  <si>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</si>
  <si>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</si>
  <si>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</si>
  <si>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</si>
  <si>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</si>
  <si>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</si>
  <si>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</si>
  <si>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</si>
  <si>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</si>
  <si>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</si>
  <si>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</si>
  <si>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</si>
  <si>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</si>
  <si>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</si>
  <si>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</si>
  <si>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</si>
  <si>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</si>
  <si>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</si>
  <si>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</si>
  <si>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</si>
  <si>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</si>
  <si>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</si>
  <si>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</si>
  <si>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</si>
  <si>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</si>
  <si>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</si>
  <si>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</si>
  <si>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</si>
  <si>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</si>
  <si>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</si>
  <si>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</si>
  <si>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</si>
  <si>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</si>
  <si>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</si>
  <si>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</si>
  <si>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</si>
  <si>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</si>
  <si>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</si>
  <si>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</si>
  <si>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</si>
  <si>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</si>
  <si>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</si>
  <si>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</si>
  <si>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</si>
  <si>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</si>
  <si>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</si>
  <si>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</si>
  <si>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</si>
  <si>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</si>
  <si>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</si>
  <si>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</si>
  <si>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</si>
  <si>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</si>
  <si>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</si>
  <si>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</si>
  <si>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</si>
  <si>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</si>
  <si>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</si>
  <si>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</si>
  <si>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</si>
  <si>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</si>
  <si>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</si>
  <si>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</si>
  <si>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</si>
  <si>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</si>
  <si>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</si>
  <si>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</si>
  <si>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</si>
  <si>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</si>
  <si>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</si>
  <si>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</si>
  <si>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</si>
  <si>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</si>
  <si>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</si>
  <si>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</si>
  <si>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</si>
  <si>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</si>
  <si>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</si>
  <si>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</si>
  <si>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</si>
  <si>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</si>
  <si>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</si>
  <si>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</si>
  <si>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</si>
  <si>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</si>
  <si>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</si>
  <si>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</si>
  <si>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</si>
  <si>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</si>
  <si>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</si>
  <si>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</si>
  <si>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</si>
  <si>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</si>
  <si>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</si>
  <si>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</si>
  <si>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</si>
  <si>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</si>
  <si>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</si>
  <si>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</si>
  <si>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</si>
  <si>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</si>
  <si>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</si>
  <si>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</si>
  <si>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</si>
  <si>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</si>
  <si>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</si>
  <si>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</si>
  <si>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</si>
  <si>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</si>
  <si>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</si>
  <si>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</si>
  <si>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</si>
  <si>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</si>
  <si>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</si>
  <si>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</si>
  <si>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</si>
  <si>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</si>
  <si>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</si>
  <si>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</si>
  <si>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</si>
  <si>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</si>
  <si>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</si>
  <si>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</si>
  <si>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</si>
  <si>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</si>
  <si>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</si>
  <si>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</si>
  <si>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</si>
  <si>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</si>
  <si>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</si>
  <si>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</si>
  <si>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</si>
  <si>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</si>
  <si>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</si>
  <si>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</si>
  <si>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</si>
  <si>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</si>
  <si>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</si>
  <si>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</si>
  <si>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</si>
  <si>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</si>
  <si>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</si>
  <si>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</si>
  <si>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</si>
  <si>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</si>
  <si>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</si>
  <si>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</si>
  <si>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</si>
  <si>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</si>
  <si>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</si>
  <si>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</si>
  <si>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</si>
  <si>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</si>
  <si>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</si>
  <si>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</si>
  <si>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</si>
  <si>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</si>
  <si>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</si>
  <si>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</si>
  <si>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</si>
  <si>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</si>
  <si>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</si>
  <si>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</si>
  <si>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</si>
  <si>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</si>
  <si>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</si>
  <si>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</si>
  <si>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</si>
  <si>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</si>
  <si>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</si>
  <si>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</si>
  <si>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</si>
  <si>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</si>
  <si>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</si>
  <si>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</si>
  <si>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</si>
  <si>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</si>
  <si>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</si>
  <si>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</si>
  <si>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</si>
  <si>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</si>
  <si>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</si>
  <si>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</si>
  <si>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</si>
  <si>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</si>
  <si>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</si>
  <si>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</si>
  <si>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</si>
  <si>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</si>
  <si>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</si>
  <si>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</si>
  <si>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</si>
  <si>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</si>
  <si>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</si>
  <si>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</si>
  <si>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</si>
  <si>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</si>
  <si>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</si>
  <si>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</si>
  <si>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</si>
  <si>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</si>
  <si>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</si>
  <si>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</si>
  <si>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</si>
  <si>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</si>
  <si>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</si>
  <si>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</si>
  <si>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</si>
  <si>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</si>
  <si>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</si>
  <si>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</si>
  <si>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</si>
  <si>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</si>
  <si>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</si>
  <si>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</si>
  <si>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</si>
  <si>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</si>
  <si>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</si>
  <si>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</si>
  <si>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</si>
  <si>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</si>
  <si>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</si>
  <si>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</si>
  <si>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</si>
  <si>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</si>
  <si>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</si>
  <si>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</si>
  <si>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</si>
  <si>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</si>
  <si>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</si>
  <si>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</si>
  <si>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</si>
  <si>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</si>
  <si>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</si>
  <si>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</si>
  <si>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</si>
  <si>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</si>
  <si>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</si>
  <si>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</si>
  <si>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</si>
  <si>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</si>
  <si>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</si>
  <si>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</si>
  <si>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</si>
  <si>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</si>
  <si>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</si>
  <si>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</si>
  <si>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</si>
  <si>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</si>
  <si>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</si>
  <si>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</si>
  <si>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</si>
  <si>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</si>
  <si>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</si>
  <si>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</si>
  <si>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</si>
  <si>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</si>
  <si>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</si>
  <si>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</si>
  <si>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</si>
  <si>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</si>
  <si>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</si>
  <si>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</si>
  <si>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</si>
  <si>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</si>
  <si>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</si>
  <si>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</si>
  <si>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</si>
  <si>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</si>
  <si>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</si>
  <si>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</si>
  <si>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</si>
  <si>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</si>
  <si>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</si>
  <si>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</si>
  <si>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</si>
  <si>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</si>
  <si>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</si>
  <si>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</si>
  <si>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</si>
  <si>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</si>
  <si>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</si>
  <si>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</si>
  <si>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</si>
  <si>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</si>
  <si>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</si>
  <si>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</si>
  <si>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</si>
  <si>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</si>
  <si>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</si>
  <si>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</si>
  <si>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</si>
  <si>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</si>
  <si>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</si>
  <si>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</si>
  <si>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</si>
  <si>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</si>
  <si>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</si>
  <si>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</si>
  <si>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</si>
  <si>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</si>
  <si>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</si>
  <si>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</si>
  <si>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</si>
  <si>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</si>
  <si>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</si>
  <si>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</si>
  <si>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</si>
  <si>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</si>
  <si>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</si>
  <si>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</si>
  <si>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</si>
  <si>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</si>
  <si>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</si>
  <si>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</si>
  <si>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</si>
  <si>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</si>
  <si>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</si>
  <si>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</si>
  <si>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</si>
  <si>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</si>
  <si>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</si>
  <si>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</si>
  <si>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</si>
  <si>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</si>
  <si>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</si>
  <si>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</si>
  <si>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</si>
  <si>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</si>
  <si>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</si>
  <si>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</si>
  <si>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</si>
  <si>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</si>
  <si>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</si>
  <si>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</si>
  <si>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</si>
  <si>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</si>
  <si>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</si>
  <si>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</si>
  <si>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</si>
  <si>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</si>
  <si>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</si>
  <si>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</si>
  <si>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</si>
  <si>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</si>
  <si>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</si>
  <si>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</si>
  <si>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</si>
  <si>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</si>
  <si>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</si>
  <si>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</si>
  <si>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</si>
  <si>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</si>
  <si>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</si>
  <si>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</si>
  <si>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</si>
  <si>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</si>
  <si>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</si>
  <si>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</si>
  <si>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</si>
  <si>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</si>
  <si>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</si>
  <si>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</si>
  <si>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</si>
  <si>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</si>
  <si>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</si>
  <si>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</si>
  <si>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</si>
  <si>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</si>
  <si>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</si>
  <si>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</si>
  <si>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</si>
  <si>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</si>
  <si>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</si>
  <si>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</si>
  <si>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</si>
  <si>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</si>
  <si>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</si>
  <si>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</si>
  <si>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</si>
  <si>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</si>
  <si>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</si>
  <si>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</si>
  <si>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</si>
  <si>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</si>
  <si>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</si>
  <si>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</si>
  <si>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</si>
  <si>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</si>
  <si>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</si>
  <si>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</si>
  <si>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</si>
  <si>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</si>
  <si>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</si>
  <si>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</si>
  <si>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</si>
  <si>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</si>
  <si>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</si>
  <si>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</si>
  <si>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</si>
  <si>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</si>
  <si>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</si>
  <si>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</si>
  <si>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</si>
  <si>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</si>
  <si>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</si>
  <si>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</si>
  <si>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</si>
  <si>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</si>
  <si>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</si>
  <si>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</si>
  <si>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</si>
  <si>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</si>
  <si>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</si>
  <si>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</si>
  <si>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</si>
  <si>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</si>
  <si>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</si>
  <si>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</si>
  <si>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</si>
  <si>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</si>
  <si>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</si>
  <si>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</si>
  <si>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</si>
  <si>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</si>
  <si>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</si>
  <si>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</si>
  <si>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</si>
  <si>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</si>
  <si>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</si>
  <si>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</si>
  <si>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</si>
  <si>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</si>
  <si>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</si>
  <si>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</si>
  <si>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</si>
  <si>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</si>
  <si>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</si>
  <si>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</si>
  <si>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</si>
  <si>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</si>
  <si>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</si>
  <si>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</si>
  <si>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</si>
  <si>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</si>
  <si>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</si>
  <si>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</si>
  <si>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</si>
  <si>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</si>
  <si>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</si>
  <si>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</si>
  <si>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</si>
  <si>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</si>
  <si>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</si>
  <si>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</si>
  <si>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</si>
  <si>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</si>
  <si>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</si>
  <si>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</si>
  <si>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</si>
  <si>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</si>
  <si>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</si>
  <si>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</si>
  <si>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</si>
  <si>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</si>
  <si>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</si>
  <si>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</si>
  <si>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</si>
  <si>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</si>
  <si>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</si>
  <si>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</si>
  <si>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</si>
  <si>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</si>
  <si>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</si>
  <si>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</si>
  <si>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</si>
  <si>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</si>
  <si>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</si>
  <si>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</si>
  <si>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</si>
  <si>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</si>
  <si>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</si>
  <si>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</si>
  <si>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</si>
  <si>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</si>
  <si>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</si>
  <si>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</si>
  <si>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</si>
  <si>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</si>
  <si>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</si>
  <si>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</si>
  <si>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</si>
  <si>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</si>
  <si>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</si>
  <si>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</si>
  <si>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</si>
  <si>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</si>
  <si>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</si>
  <si>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</si>
  <si>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</si>
  <si>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</si>
  <si>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</si>
  <si>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</si>
  <si>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</si>
  <si>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</si>
  <si>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</si>
  <si>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</si>
  <si>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</si>
  <si>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</si>
  <si>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</si>
  <si>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</si>
  <si>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</si>
  <si>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</si>
  <si>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</si>
  <si>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</si>
  <si>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</si>
  <si>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</si>
  <si>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</si>
  <si>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</si>
  <si>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</si>
  <si>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</si>
  <si>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</si>
  <si>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</si>
  <si>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</si>
  <si>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</si>
  <si>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</si>
  <si>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</si>
  <si>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</si>
  <si>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</si>
  <si>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</si>
  <si>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</si>
  <si>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</si>
  <si>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</si>
  <si>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</si>
  <si>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</si>
  <si>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</si>
  <si>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</si>
  <si>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</si>
  <si>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</si>
  <si>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</si>
  <si>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</si>
  <si>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</si>
  <si>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</si>
  <si>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</si>
  <si>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</si>
  <si>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</si>
  <si>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</si>
  <si>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</si>
  <si>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</si>
  <si>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</si>
  <si>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</si>
  <si>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</si>
  <si>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</si>
  <si>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</si>
  <si>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</si>
  <si>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</si>
  <si>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</si>
  <si>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</si>
  <si>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</si>
  <si>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</si>
  <si>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</si>
  <si>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</si>
  <si>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</si>
  <si>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</si>
  <si>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</si>
  <si>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</si>
  <si>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</si>
  <si>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</si>
  <si>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</si>
  <si>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</si>
  <si>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</si>
  <si>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</si>
  <si>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</si>
  <si>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</si>
  <si>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</si>
  <si>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</si>
  <si>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</si>
  <si>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</si>
  <si>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</si>
  <si>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</si>
  <si>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</si>
  <si>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</si>
  <si>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</si>
  <si>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</si>
  <si>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</si>
  <si>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</si>
  <si>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</si>
  <si>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</si>
  <si>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</si>
  <si>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</si>
  <si>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</si>
  <si>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</si>
  <si>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</si>
  <si>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</si>
  <si>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</si>
  <si>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</si>
  <si>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</si>
  <si>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</si>
  <si>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</si>
  <si>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</si>
  <si>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</si>
  <si>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</si>
  <si>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</si>
  <si>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</si>
  <si>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</si>
  <si>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</si>
  <si>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</si>
  <si>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</si>
  <si>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</si>
  <si>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</si>
  <si>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</si>
  <si>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</si>
  <si>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</si>
  <si>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</si>
  <si>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</si>
  <si>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</si>
  <si>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</si>
  <si>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</si>
  <si>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</si>
  <si>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</si>
  <si>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</si>
  <si>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</si>
  <si>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</si>
  <si>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</si>
  <si>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</si>
  <si>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</si>
  <si>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</si>
  <si>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</si>
  <si>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</si>
  <si>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</si>
  <si>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</si>
  <si>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</si>
  <si>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</si>
  <si>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</si>
  <si>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</si>
  <si>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</si>
  <si>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</si>
  <si>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</si>
  <si>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</si>
  <si>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</si>
  <si>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</si>
  <si>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</si>
  <si>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</si>
  <si>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</si>
  <si>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</si>
  <si>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</si>
  <si>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</si>
  <si>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</si>
  <si>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</si>
  <si>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</si>
  <si>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</si>
  <si>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</si>
  <si>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</si>
  <si>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</si>
  <si>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</si>
  <si>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</si>
  <si>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</si>
  <si>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</si>
  <si>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</si>
  <si>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</si>
  <si>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</si>
  <si>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</si>
  <si>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</si>
  <si>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</si>
  <si>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</si>
  <si>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</si>
  <si>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</si>
  <si>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</si>
  <si>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</si>
  <si>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</si>
  <si>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</si>
  <si>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</si>
  <si>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</si>
  <si>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</si>
  <si>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</si>
  <si>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</si>
  <si>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</si>
  <si>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</si>
  <si>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</si>
  <si>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</si>
  <si>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</si>
  <si>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</si>
  <si>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</si>
  <si>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</si>
  <si>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</si>
  <si>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</si>
  <si>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</si>
  <si>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</si>
  <si>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</si>
  <si>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</si>
  <si>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</si>
  <si>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</si>
  <si>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</si>
  <si>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</si>
  <si>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</si>
  <si>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</si>
  <si>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</si>
  <si>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</si>
  <si>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</si>
  <si>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</si>
  <si>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</si>
  <si>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</si>
  <si>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</si>
  <si>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</si>
  <si>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</si>
  <si>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</si>
  <si>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</si>
  <si>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</si>
  <si>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</si>
  <si>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</si>
  <si>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</si>
  <si>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</si>
  <si>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</si>
  <si>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</si>
  <si>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</si>
  <si>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</si>
  <si>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</si>
  <si>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</si>
  <si>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</si>
  <si>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</si>
  <si>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</si>
  <si>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</si>
  <si>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</si>
  <si>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</si>
  <si>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</si>
  <si>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</si>
  <si>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</si>
  <si>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</si>
  <si>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</si>
  <si>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</si>
  <si>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</si>
  <si>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</si>
  <si>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</si>
  <si>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</si>
  <si>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</si>
  <si>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</si>
  <si>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</si>
  <si>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</si>
  <si>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</si>
  <si>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</si>
  <si>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</si>
  <si>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</si>
  <si>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</si>
  <si>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</si>
  <si>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</si>
  <si>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</si>
  <si>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</si>
  <si>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</si>
  <si>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</si>
  <si>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</si>
  <si>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</si>
  <si>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</si>
  <si>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</si>
  <si>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</si>
  <si>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</si>
  <si>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</si>
  <si>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</si>
  <si>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</si>
  <si>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</si>
  <si>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</si>
  <si>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</si>
  <si>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</si>
  <si>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</si>
  <si>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</si>
  <si>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</si>
  <si>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</si>
  <si>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</si>
  <si>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</si>
  <si>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</si>
  <si>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</si>
  <si>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</si>
  <si>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</si>
  <si>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</si>
  <si>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</si>
  <si>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</si>
  <si>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</si>
  <si>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</si>
  <si>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</si>
  <si>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</si>
  <si>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</si>
  <si>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</si>
  <si>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</si>
  <si>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</si>
  <si>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</si>
  <si>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</si>
  <si>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</si>
  <si>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</si>
  <si>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</si>
  <si>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</si>
  <si>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</si>
  <si>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</si>
  <si>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</si>
  <si>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</si>
  <si>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</si>
  <si>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</si>
  <si>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</si>
  <si>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</si>
  <si>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</si>
  <si>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</si>
  <si>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</si>
  <si>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</si>
  <si>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</si>
  <si>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</si>
  <si>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</si>
  <si>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</si>
  <si>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</si>
  <si>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</si>
  <si>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</si>
  <si>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</si>
  <si>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</si>
  <si>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</si>
  <si>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</si>
  <si>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</si>
  <si>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</si>
  <si>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</si>
  <si>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</si>
  <si>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</si>
  <si>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</si>
  <si>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</si>
  <si>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</si>
  <si>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</si>
  <si>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</si>
  <si>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</si>
  <si>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</si>
  <si>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</si>
  <si>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</si>
  <si>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</si>
  <si>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</si>
  <si>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</si>
  <si>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</si>
  <si>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</si>
  <si>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</si>
  <si>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</si>
  <si>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</si>
  <si>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</si>
  <si>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</si>
  <si>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</si>
  <si>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</si>
  <si>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</si>
  <si>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</si>
  <si>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</si>
  <si>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</si>
  <si>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</si>
  <si>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</si>
  <si>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</si>
  <si>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</si>
  <si>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</si>
  <si>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</si>
  <si>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</si>
  <si>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</si>
  <si>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</si>
  <si>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</si>
  <si>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</si>
  <si>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</si>
  <si>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</si>
  <si>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</si>
  <si>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</si>
  <si>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</si>
  <si>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</si>
  <si>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</si>
  <si>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</si>
  <si>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</si>
  <si>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</si>
  <si>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</si>
  <si>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</si>
  <si>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</si>
  <si>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</si>
  <si>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</si>
  <si>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</si>
  <si>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</si>
  <si>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</si>
  <si>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</si>
  <si>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</si>
  <si>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</si>
  <si>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</si>
  <si>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</si>
  <si>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</si>
  <si>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</si>
  <si>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</si>
  <si>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</si>
  <si>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</si>
  <si>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</si>
  <si>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</si>
  <si>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</si>
  <si>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</si>
  <si>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</si>
  <si>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</si>
  <si>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</si>
  <si>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</si>
  <si>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</si>
  <si>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</si>
  <si>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</si>
  <si>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</si>
  <si>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</si>
  <si>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</si>
  <si>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</si>
  <si>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</si>
  <si>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</si>
  <si>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</si>
  <si>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</si>
  <si>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</si>
  <si>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</si>
  <si>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</si>
  <si>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</si>
  <si>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</si>
  <si>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</si>
  <si>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</si>
  <si>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</si>
  <si>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</si>
  <si>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</si>
  <si>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</si>
  <si>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</si>
  <si>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</si>
  <si>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</si>
  <si>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</si>
  <si>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</si>
  <si>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</si>
  <si>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</si>
  <si>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</si>
  <si>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</si>
  <si>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</si>
  <si>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</si>
  <si>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</si>
  <si>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</si>
  <si>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</si>
  <si>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</si>
  <si>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</si>
  <si>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</si>
  <si>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</si>
  <si>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</si>
  <si>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</si>
  <si>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</si>
  <si>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</si>
  <si>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</si>
  <si>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</si>
  <si>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</si>
  <si>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</si>
  <si>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</si>
  <si>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</si>
  <si>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</si>
  <si>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</si>
  <si>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</si>
  <si>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</si>
  <si>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</si>
  <si>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</si>
  <si>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</si>
  <si>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</si>
  <si>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</si>
  <si>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</si>
  <si>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</si>
  <si>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</si>
  <si>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</si>
  <si>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</si>
  <si>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</si>
  <si>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</si>
  <si>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</si>
  <si>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</si>
  <si>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</si>
  <si>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</si>
  <si>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</si>
  <si>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</si>
  <si>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</si>
  <si>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</si>
  <si>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</si>
  <si>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</si>
  <si>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</si>
  <si>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</si>
  <si>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</si>
  <si>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</si>
  <si>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</si>
  <si>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</si>
  <si>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</si>
  <si>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</si>
  <si>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</si>
  <si>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</si>
  <si>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</si>
  <si>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</si>
  <si>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</si>
  <si>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</si>
  <si>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</si>
  <si>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</si>
  <si>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</si>
  <si>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</si>
  <si>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</si>
  <si>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</si>
  <si>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</si>
  <si>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</si>
  <si>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</si>
  <si>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</si>
  <si>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</si>
  <si>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</si>
  <si>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</si>
  <si>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</si>
  <si>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</si>
  <si>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</si>
  <si>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</si>
  <si>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</si>
  <si>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</si>
  <si>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</si>
  <si>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</si>
  <si>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</si>
  <si>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</si>
  <si>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</si>
  <si>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</si>
  <si>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</si>
  <si>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</si>
  <si>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</si>
  <si>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</si>
  <si>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</si>
  <si>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</si>
  <si>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</si>
  <si>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</si>
  <si>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</si>
  <si>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</si>
  <si>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</si>
  <si>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</si>
  <si>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</si>
  <si>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</si>
  <si>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</si>
  <si>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</si>
  <si>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</si>
  <si>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</si>
  <si>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</si>
  <si>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</si>
  <si>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</si>
  <si>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</si>
  <si>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</si>
  <si>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</si>
  <si>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</si>
  <si>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</si>
  <si>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</si>
  <si>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</si>
  <si>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</si>
  <si>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</si>
  <si>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</si>
  <si>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</si>
  <si>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</si>
  <si>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</si>
  <si>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</si>
  <si>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</si>
  <si>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</si>
  <si>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</si>
  <si>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</si>
  <si>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</si>
  <si>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</si>
  <si>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</si>
  <si>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</si>
  <si>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</si>
  <si>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</si>
  <si>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</si>
  <si>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</si>
  <si>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</si>
  <si>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</si>
  <si>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</si>
  <si>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</si>
  <si>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</si>
  <si>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</si>
  <si>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</si>
  <si>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</si>
  <si>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</si>
  <si>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</si>
  <si>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</si>
  <si>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</si>
  <si>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</si>
  <si>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</si>
  <si>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</si>
  <si>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</si>
  <si>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</si>
  <si>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</si>
  <si>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</si>
  <si>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</si>
  <si>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</si>
  <si>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</si>
  <si>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</si>
  <si>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</si>
  <si>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</si>
  <si>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</si>
  <si>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</si>
  <si>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</si>
  <si>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</si>
  <si>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</si>
  <si>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</si>
  <si>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</si>
  <si>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</si>
  <si>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</si>
  <si>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</si>
  <si>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</si>
  <si>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</si>
  <si>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</si>
  <si>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</si>
  <si>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</si>
  <si>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</si>
  <si>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</si>
  <si>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</si>
  <si>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</si>
  <si>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</si>
  <si>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</si>
  <si>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</si>
  <si>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</si>
  <si>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</si>
  <si>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</si>
  <si>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</si>
  <si>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</si>
  <si>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</si>
  <si>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</si>
  <si>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</si>
  <si>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</si>
  <si>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</si>
  <si>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</si>
  <si>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</si>
  <si>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</si>
  <si>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</si>
  <si>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</si>
  <si>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</si>
  <si>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</si>
  <si>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</si>
  <si>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</si>
  <si>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</si>
  <si>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</si>
  <si>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</si>
  <si>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</si>
  <si>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</si>
  <si>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</si>
  <si>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</si>
  <si>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</si>
  <si>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</si>
  <si>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</si>
  <si>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</si>
  <si>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</si>
  <si>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</si>
  <si>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</si>
  <si>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</si>
  <si>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</si>
  <si>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</si>
  <si>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</si>
  <si>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</si>
  <si>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</si>
  <si>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</si>
  <si>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</si>
  <si>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</si>
  <si>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</si>
  <si>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</si>
  <si>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</si>
  <si>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</si>
  <si>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</si>
  <si>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</si>
  <si>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</si>
  <si>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</si>
  <si>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</si>
  <si>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</si>
  <si>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</si>
  <si>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</si>
  <si>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</si>
  <si>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</si>
  <si>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</si>
  <si>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</si>
  <si>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</si>
  <si>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</si>
  <si>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</si>
  <si>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</si>
  <si>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</si>
  <si>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</si>
  <si>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</si>
  <si>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</si>
  <si>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</si>
  <si>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</si>
  <si>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</si>
  <si>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</si>
  <si>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</si>
  <si>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</si>
  <si>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</si>
  <si>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</si>
  <si>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</si>
  <si>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</si>
  <si>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</si>
  <si>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</si>
  <si>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</si>
  <si>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</si>
  <si>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</si>
  <si>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</si>
  <si>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</si>
  <si>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</si>
  <si>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</si>
  <si>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</si>
  <si>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</si>
  <si>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</si>
  <si>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</si>
  <si>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</si>
  <si>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</si>
  <si>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</si>
  <si>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</si>
  <si>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</si>
  <si>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</si>
  <si>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</si>
  <si>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</si>
  <si>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</si>
  <si>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</si>
  <si>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</si>
  <si>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</si>
  <si>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</si>
  <si>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</si>
  <si>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</si>
  <si>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</si>
  <si>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</si>
  <si>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</si>
  <si>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</si>
  <si>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</si>
  <si>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</si>
  <si>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</si>
  <si>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</si>
  <si>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</si>
  <si>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</si>
  <si>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</si>
  <si>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</si>
  <si>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</si>
  <si>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</si>
  <si>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</si>
  <si>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</si>
  <si>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</si>
  <si>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</si>
  <si>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</si>
  <si>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</si>
  <si>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</si>
  <si>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</si>
  <si>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</si>
  <si>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</si>
  <si>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</si>
  <si>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</si>
  <si>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</si>
  <si>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</si>
  <si>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</si>
  <si>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</si>
  <si>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</si>
  <si>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</si>
  <si>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</si>
  <si>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</si>
  <si>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</si>
  <si>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</si>
  <si>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</si>
  <si>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</si>
  <si>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</si>
  <si>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</si>
  <si>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</si>
  <si>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</si>
  <si>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</si>
  <si>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</si>
  <si>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</si>
  <si>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</si>
  <si>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</si>
  <si>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</si>
  <si>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</si>
  <si>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</si>
  <si>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</si>
  <si>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</si>
  <si>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</si>
  <si>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</si>
  <si>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</si>
  <si>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</si>
  <si>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</si>
  <si>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</si>
  <si>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</si>
  <si>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</si>
  <si>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</si>
  <si>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</si>
  <si>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</si>
  <si>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</si>
  <si>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</si>
  <si>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</si>
  <si>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</si>
  <si>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</si>
  <si>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</si>
  <si>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</si>
  <si>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</si>
  <si>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</si>
  <si>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</si>
  <si>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</si>
  <si>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</si>
  <si>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</si>
  <si>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</si>
  <si>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</si>
  <si>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</si>
  <si>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</si>
  <si>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</si>
  <si>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</si>
  <si>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</si>
  <si>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</si>
  <si>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</si>
  <si>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</si>
  <si>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</si>
  <si>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</si>
  <si>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</si>
  <si>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</si>
  <si>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</si>
  <si>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</si>
  <si>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</si>
  <si>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</si>
  <si>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</si>
  <si>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</si>
  <si>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</si>
  <si>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</si>
  <si>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</si>
  <si>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</si>
  <si>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</si>
  <si>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</si>
  <si>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</si>
  <si>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</si>
  <si>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</si>
  <si>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</si>
  <si>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</si>
  <si>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</si>
  <si>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</si>
  <si>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</si>
  <si>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</si>
  <si>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</si>
  <si>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</si>
  <si>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</si>
  <si>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</si>
  <si>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</si>
  <si>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</si>
  <si>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</si>
  <si>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</si>
  <si>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</si>
  <si>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</si>
  <si>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</si>
  <si>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</si>
  <si>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</si>
  <si>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</si>
  <si>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</si>
  <si>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</si>
  <si>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</si>
  <si>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</si>
  <si>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</si>
  <si>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</si>
  <si>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</si>
  <si>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</si>
  <si>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</si>
  <si>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</si>
  <si>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</si>
  <si>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</si>
  <si>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</si>
  <si>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</si>
  <si>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</si>
  <si>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</si>
  <si>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</si>
  <si>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</si>
  <si>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</si>
  <si>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</si>
  <si>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</si>
  <si>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</si>
  <si>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</si>
  <si>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</si>
  <si>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</si>
  <si>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</si>
  <si>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</si>
  <si>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</si>
  <si>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</si>
  <si>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</si>
  <si>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</si>
  <si>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</si>
  <si>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</si>
  <si>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</si>
  <si>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</si>
  <si>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</si>
  <si>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</si>
  <si>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</si>
  <si>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</si>
  <si>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</si>
  <si>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</si>
  <si>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</si>
  <si>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</si>
  <si>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</si>
  <si>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</si>
  <si>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</si>
  <si>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</si>
  <si>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</si>
  <si>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</si>
  <si>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</si>
  <si>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</si>
  <si>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</si>
  <si>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</si>
  <si>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</si>
  <si>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</si>
  <si>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</si>
  <si>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</si>
  <si>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</si>
  <si>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</si>
  <si>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</si>
  <si>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</si>
  <si>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</si>
  <si>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</si>
  <si>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</si>
  <si>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</si>
  <si>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</si>
  <si>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</si>
  <si>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</si>
  <si>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</si>
  <si>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</si>
  <si>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</si>
  <si>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</si>
  <si>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</si>
  <si>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</si>
  <si>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</si>
  <si>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</si>
  <si>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</si>
  <si>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</si>
  <si>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</si>
  <si>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</si>
  <si>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</si>
  <si>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</si>
  <si>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</si>
  <si>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</si>
  <si>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</si>
  <si>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</si>
  <si>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</si>
  <si>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</si>
  <si>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</si>
  <si>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</si>
  <si>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</si>
  <si>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</si>
  <si>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</si>
  <si>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</si>
  <si>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</si>
  <si>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</si>
  <si>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</si>
  <si>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</si>
  <si>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</si>
  <si>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</si>
  <si>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</si>
  <si>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</si>
  <si>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</si>
  <si>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</si>
  <si>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</si>
  <si>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</si>
  <si>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</si>
  <si>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</si>
  <si>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</si>
  <si>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</si>
  <si>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</si>
  <si>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</si>
  <si>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</si>
  <si>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</si>
  <si>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</si>
  <si>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</si>
  <si>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</si>
  <si>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</si>
  <si>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</si>
  <si>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</si>
  <si>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</si>
  <si>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</si>
  <si>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</si>
  <si>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</si>
  <si>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</si>
  <si>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</si>
  <si>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</si>
  <si>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</si>
  <si>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</si>
  <si>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</si>
  <si>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</si>
  <si>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</si>
  <si>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</si>
  <si>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</si>
  <si>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</si>
  <si>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</si>
  <si>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</si>
  <si>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</si>
  <si>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</si>
  <si>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</si>
  <si>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</si>
  <si>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</si>
  <si>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</si>
  <si>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</si>
  <si>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</si>
  <si>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</si>
  <si>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</si>
  <si>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</si>
  <si>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</si>
  <si>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</si>
  <si>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</si>
  <si>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</si>
  <si>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</si>
  <si>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</si>
  <si>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</si>
  <si>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</si>
  <si>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</si>
  <si>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</si>
  <si>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</si>
  <si>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</si>
  <si>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</si>
  <si>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</si>
  <si>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</si>
  <si>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</si>
  <si>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</si>
  <si>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</si>
  <si>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</si>
  <si>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</si>
  <si>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</si>
  <si>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</si>
  <si>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</si>
  <si>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</si>
  <si>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</si>
  <si>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</si>
  <si>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</si>
  <si>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</si>
  <si>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</si>
  <si>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</si>
  <si>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</si>
  <si>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</si>
  <si>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</si>
  <si>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</si>
  <si>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</si>
  <si>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</si>
  <si>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</si>
  <si>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</si>
  <si>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</si>
  <si>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</si>
  <si>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</si>
  <si>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</si>
  <si>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</si>
  <si>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</si>
  <si>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</si>
  <si>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</si>
  <si>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</si>
  <si>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</si>
  <si>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</si>
  <si>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</si>
  <si>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</si>
  <si>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</si>
  <si>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</si>
  <si>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</si>
  <si>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</si>
  <si>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</si>
  <si>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</si>
  <si>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</si>
  <si>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</si>
  <si>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</si>
  <si>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</si>
  <si>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</si>
  <si>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</si>
  <si>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</si>
  <si>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</si>
  <si>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</si>
  <si>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</si>
  <si>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</si>
  <si>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</si>
  <si>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</si>
  <si>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</si>
  <si>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</si>
  <si>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</si>
  <si>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</si>
  <si>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</si>
  <si>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</si>
  <si>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</si>
  <si>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</si>
  <si>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</si>
  <si>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</si>
  <si>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</si>
  <si>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</si>
  <si>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</si>
  <si>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</si>
  <si>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</si>
  <si>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</si>
  <si>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</si>
  <si>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</si>
  <si>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</si>
  <si>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</si>
  <si>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</si>
  <si>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</si>
  <si>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</si>
  <si>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</si>
  <si>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</si>
  <si>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</si>
  <si>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</si>
  <si>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</si>
  <si>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</si>
  <si>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</si>
  <si>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</si>
  <si>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</si>
  <si>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</si>
  <si>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</si>
  <si>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</si>
  <si>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</si>
  <si>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</si>
  <si>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</si>
  <si>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</si>
  <si>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</si>
  <si>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</si>
  <si>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</si>
  <si>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</si>
  <si>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</si>
  <si>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</si>
  <si>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</si>
  <si>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</si>
  <si>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</si>
  <si>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</si>
  <si>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</si>
  <si>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</si>
  <si>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</si>
  <si>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</si>
  <si>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</si>
  <si>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</si>
  <si>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</si>
  <si>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</si>
  <si>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</si>
  <si>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</si>
  <si>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</si>
  <si>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</si>
  <si>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</si>
  <si>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</si>
  <si>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</si>
  <si>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</si>
  <si>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</si>
  <si>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</si>
  <si>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</si>
  <si>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</si>
  <si>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</si>
  <si>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</si>
  <si>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</si>
  <si>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</si>
  <si>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</si>
  <si>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</si>
  <si>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</si>
  <si>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</si>
  <si>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</si>
  <si>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</si>
  <si>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</si>
  <si>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</si>
  <si>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</si>
  <si>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</si>
  <si>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</si>
  <si>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</si>
  <si>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</si>
  <si>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</si>
  <si>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</si>
  <si>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</si>
  <si>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</si>
  <si>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</si>
  <si>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</si>
  <si>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</si>
  <si>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</si>
  <si>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</si>
  <si>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</si>
  <si>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</si>
  <si>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</si>
  <si>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</si>
  <si>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</si>
  <si>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</si>
  <si>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</si>
  <si>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</si>
  <si>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</si>
  <si>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</si>
  <si>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</si>
  <si>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</si>
  <si>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</si>
  <si>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</si>
  <si>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</si>
  <si>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</si>
  <si>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</si>
  <si>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</si>
  <si>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</si>
  <si>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زاگرس 102 تا 5808.5</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</si>
  <si>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</si>
  <si>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</si>
  <si>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</si>
  <si>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</si>
  <si>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</si>
  <si>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</si>
  <si>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</si>
  <si>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</si>
  <si>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</si>
  <si>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</si>
  <si>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</si>
  <si>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</si>
  <si>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</si>
  <si>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</si>
  <si>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</si>
  <si>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</si>
  <si>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</si>
  <si>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</si>
  <si>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</si>
  <si>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</si>
  <si>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</si>
  <si>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</si>
  <si>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</si>
  <si>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</si>
  <si>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</si>
  <si>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</si>
  <si>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</si>
  <si>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</si>
  <si>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</si>
  <si>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</si>
  <si>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</si>
  <si>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</si>
  <si>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</si>
  <si>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</si>
  <si>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</si>
  <si>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زاگرس 270 تا 5474</t>
  </si>
  <si>
    <t>زاگرس 409 تا 5349</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</si>
  <si>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</si>
  <si>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</si>
  <si>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</si>
  <si>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</si>
  <si>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</si>
  <si>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</si>
  <si>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</si>
  <si>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</si>
  <si>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</si>
  <si>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</si>
  <si>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</si>
  <si>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</si>
  <si>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</si>
  <si>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</si>
  <si>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</si>
  <si>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</si>
  <si>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</si>
  <si>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</si>
  <si>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</si>
  <si>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</si>
  <si>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</si>
  <si>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</si>
  <si>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</si>
  <si>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</si>
  <si>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</si>
  <si>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</si>
  <si>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</si>
  <si>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</si>
  <si>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</si>
  <si>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</si>
  <si>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</si>
  <si>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</si>
  <si>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</si>
  <si>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</si>
  <si>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</si>
  <si>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</si>
  <si>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</si>
  <si>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</si>
  <si>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</si>
  <si>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</si>
  <si>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</si>
  <si>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</si>
  <si>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</si>
  <si>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</si>
  <si>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</si>
  <si>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</si>
  <si>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</si>
  <si>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</si>
  <si>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</si>
  <si>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</si>
  <si>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</si>
  <si>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</si>
  <si>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</si>
  <si>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</si>
  <si>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</si>
  <si>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</si>
  <si>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</si>
  <si>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</si>
  <si>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</si>
  <si>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</si>
  <si>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</si>
  <si>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</si>
  <si>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</si>
  <si>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</si>
  <si>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</si>
  <si>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</si>
  <si>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</si>
  <si>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</si>
  <si>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</si>
  <si>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</si>
  <si>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</si>
  <si>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</si>
  <si>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</si>
  <si>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</si>
  <si>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</si>
  <si>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</si>
  <si>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</si>
  <si>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</si>
  <si>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</si>
  <si>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</si>
  <si>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</si>
  <si>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</si>
  <si>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</si>
  <si>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</si>
  <si>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</si>
  <si>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</si>
  <si>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</si>
  <si>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</si>
  <si>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</si>
  <si>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</si>
  <si>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</si>
  <si>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</si>
  <si>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</si>
  <si>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</si>
  <si>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</si>
  <si>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</si>
  <si>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</si>
  <si>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</si>
  <si>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</si>
  <si>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</si>
  <si>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</si>
  <si>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</si>
  <si>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</si>
  <si>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</si>
  <si>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</si>
  <si>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</si>
  <si>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</si>
  <si>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</si>
  <si>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</si>
  <si>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</si>
  <si>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</si>
  <si>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</si>
  <si>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</si>
  <si>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</si>
  <si>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</si>
  <si>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</si>
  <si>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</si>
  <si>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</si>
  <si>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</si>
  <si>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</si>
  <si>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</si>
  <si>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</si>
  <si>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</si>
  <si>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</si>
  <si>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</si>
  <si>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</si>
  <si>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</si>
  <si>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</si>
  <si>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</si>
  <si>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</si>
  <si>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</si>
  <si>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</si>
  <si>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</si>
  <si>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</si>
  <si>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</si>
  <si>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</si>
  <si>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</si>
  <si>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</si>
  <si>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</si>
  <si>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</si>
  <si>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</si>
  <si>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</si>
  <si>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</si>
  <si>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</si>
  <si>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</si>
  <si>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</si>
  <si>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</si>
  <si>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</si>
  <si>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</si>
  <si>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</si>
  <si>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</si>
  <si>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</si>
  <si>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</si>
  <si>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</si>
  <si>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</si>
  <si>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</si>
  <si>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</si>
  <si>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</si>
  <si>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</si>
  <si>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</si>
  <si>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</si>
  <si>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</si>
  <si>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</si>
  <si>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</si>
  <si>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</si>
  <si>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</si>
  <si>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</si>
  <si>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</si>
  <si>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</si>
  <si>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</si>
  <si>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</si>
  <si>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</si>
  <si>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</si>
  <si>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</si>
  <si>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</si>
  <si>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</si>
  <si>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</si>
  <si>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</si>
  <si>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</si>
  <si>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</si>
  <si>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</si>
  <si>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</si>
  <si>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</si>
  <si>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</si>
  <si>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</si>
  <si>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</si>
  <si>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</si>
  <si>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</si>
  <si>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</si>
  <si>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</si>
  <si>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</si>
  <si>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</si>
  <si>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</si>
  <si>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</si>
  <si>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</si>
  <si>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</si>
  <si>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</si>
  <si>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</si>
  <si>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</si>
  <si>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</si>
  <si>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</si>
  <si>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</si>
  <si>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</si>
  <si>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</si>
  <si>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</si>
  <si>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</si>
  <si>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</si>
  <si>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</si>
  <si>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</si>
  <si>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</si>
  <si>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</si>
  <si>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</si>
  <si>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</si>
  <si>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</si>
  <si>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</si>
  <si>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</si>
  <si>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</si>
  <si>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</si>
  <si>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</si>
  <si>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</si>
  <si>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</si>
  <si>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زاگرس 47 تا 5315.5</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</si>
  <si>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</si>
  <si>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</si>
  <si>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</si>
  <si>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</si>
  <si>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</si>
  <si>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</si>
  <si>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</si>
  <si>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</si>
  <si>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</si>
  <si>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</si>
  <si>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</si>
  <si>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</si>
  <si>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</si>
  <si>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</si>
  <si>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</si>
  <si>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</si>
  <si>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</si>
  <si>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</si>
  <si>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</si>
  <si>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</si>
  <si>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</si>
  <si>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</si>
  <si>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</si>
  <si>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</si>
  <si>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</si>
  <si>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</si>
  <si>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31/4/97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</si>
  <si>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</si>
  <si>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</si>
  <si>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</si>
  <si>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</si>
  <si>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</si>
  <si>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</si>
  <si>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</si>
  <si>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</si>
  <si>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</si>
  <si>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</si>
  <si>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</si>
  <si>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</si>
  <si>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</si>
  <si>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</si>
  <si>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</si>
  <si>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</si>
  <si>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</si>
  <si>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</si>
  <si>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</si>
  <si>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</si>
  <si>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</si>
  <si>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</si>
  <si>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</si>
  <si>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</si>
  <si>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</si>
  <si>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</si>
  <si>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</si>
  <si>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</si>
  <si>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</si>
  <si>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</si>
  <si>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</si>
  <si>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</si>
  <si>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</si>
  <si>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</si>
  <si>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</si>
  <si>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</si>
  <si>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</si>
  <si>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</si>
  <si>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</si>
  <si>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</si>
  <si>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</si>
  <si>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</si>
  <si>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</si>
  <si>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</si>
  <si>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</si>
  <si>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</si>
  <si>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</si>
  <si>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</si>
  <si>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</si>
  <si>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</si>
  <si>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</si>
  <si>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</si>
  <si>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</si>
  <si>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</si>
  <si>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</si>
  <si>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</si>
  <si>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</si>
  <si>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</si>
  <si>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</si>
  <si>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</si>
  <si>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</si>
  <si>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</si>
  <si>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</si>
  <si>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</si>
  <si>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</si>
  <si>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</si>
  <si>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</si>
  <si>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</si>
  <si>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</si>
  <si>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</si>
  <si>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</si>
  <si>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</si>
  <si>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</si>
  <si>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</si>
  <si>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</si>
  <si>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</si>
  <si>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</si>
  <si>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</si>
  <si>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زاگرس 1000 تا 5395.9</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</si>
  <si>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</si>
  <si>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</si>
  <si>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</si>
  <si>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</si>
  <si>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</si>
  <si>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</si>
  <si>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</si>
  <si>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</si>
  <si>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</si>
  <si>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</si>
  <si>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</si>
  <si>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</si>
  <si>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</si>
  <si>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</si>
  <si>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</si>
  <si>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</si>
  <si>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</si>
  <si>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</si>
  <si>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</si>
  <si>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</si>
  <si>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</si>
  <si>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</si>
  <si>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</si>
  <si>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</si>
  <si>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</si>
  <si>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</si>
  <si>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</si>
  <si>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</si>
  <si>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</si>
  <si>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</si>
  <si>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</si>
  <si>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</si>
  <si>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</si>
  <si>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</si>
  <si>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</si>
  <si>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</si>
  <si>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</si>
  <si>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</si>
  <si>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</si>
  <si>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</si>
  <si>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</si>
  <si>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</si>
  <si>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</si>
  <si>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</si>
  <si>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</si>
  <si>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</si>
  <si>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</si>
  <si>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</si>
  <si>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</si>
  <si>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</si>
  <si>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</si>
  <si>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</si>
  <si>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</si>
  <si>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</si>
  <si>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</si>
  <si>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</si>
  <si>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</si>
  <si>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</si>
  <si>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</si>
  <si>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</si>
  <si>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</si>
  <si>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</si>
  <si>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</si>
  <si>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</si>
  <si>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</si>
  <si>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</si>
  <si>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</si>
  <si>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</si>
  <si>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</si>
  <si>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</si>
  <si>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</si>
  <si>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</si>
  <si>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</si>
  <si>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</si>
  <si>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</si>
  <si>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</si>
  <si>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</si>
  <si>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</si>
  <si>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</si>
  <si>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</si>
  <si>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</si>
  <si>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</si>
  <si>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</si>
  <si>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</si>
  <si>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</si>
  <si>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</si>
  <si>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</si>
  <si>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</si>
  <si>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</si>
  <si>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</si>
  <si>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</si>
  <si>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</si>
  <si>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</si>
  <si>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</si>
  <si>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</si>
  <si>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</si>
  <si>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</si>
  <si>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</si>
  <si>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</si>
  <si>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</si>
  <si>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</si>
  <si>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</si>
  <si>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سود ریشمک 2/6/98</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</si>
  <si>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</si>
  <si>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</si>
  <si>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</si>
  <si>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</si>
  <si>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</si>
  <si>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</si>
  <si>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</si>
  <si>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</si>
  <si>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</si>
  <si>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</si>
  <si>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</si>
  <si>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</si>
  <si>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</si>
  <si>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</si>
  <si>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</si>
  <si>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</si>
  <si>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</si>
  <si>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</si>
  <si>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</si>
  <si>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</si>
  <si>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</si>
  <si>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</si>
  <si>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</si>
  <si>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</si>
  <si>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</si>
  <si>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</si>
  <si>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</si>
  <si>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</si>
  <si>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</si>
  <si>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</si>
  <si>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</si>
  <si>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</si>
  <si>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</si>
  <si>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</si>
  <si>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</si>
  <si>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</si>
  <si>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</si>
  <si>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</si>
  <si>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</si>
  <si>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</si>
  <si>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</si>
  <si>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</si>
  <si>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</si>
  <si>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</si>
  <si>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</si>
  <si>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</si>
  <si>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</si>
  <si>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</si>
  <si>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</si>
  <si>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</si>
  <si>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</si>
  <si>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</si>
  <si>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</si>
  <si>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</si>
  <si>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</si>
  <si>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</si>
  <si>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</si>
  <si>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</si>
  <si>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</si>
  <si>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</si>
  <si>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</si>
  <si>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</si>
  <si>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</si>
  <si>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</si>
  <si>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</si>
  <si>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</si>
  <si>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</si>
  <si>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</si>
  <si>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</si>
  <si>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</si>
  <si>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</si>
  <si>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</si>
  <si>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</si>
  <si>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</si>
  <si>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</si>
  <si>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</si>
  <si>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</si>
  <si>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</si>
  <si>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</si>
  <si>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</si>
  <si>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</si>
  <si>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</si>
  <si>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</si>
  <si>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</si>
  <si>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</si>
  <si>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</si>
  <si>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</si>
  <si>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</si>
  <si>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</si>
  <si>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</si>
  <si>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</si>
  <si>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</si>
  <si>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</si>
  <si>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</si>
  <si>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</si>
  <si>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</si>
  <si>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</si>
  <si>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</si>
  <si>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</si>
  <si>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</si>
  <si>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</si>
  <si>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</si>
  <si>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</si>
  <si>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</si>
  <si>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</si>
  <si>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</si>
  <si>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</si>
  <si>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</si>
  <si>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</si>
  <si>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</si>
  <si>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</si>
  <si>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</si>
  <si>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</si>
  <si>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</si>
  <si>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</si>
  <si>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</si>
  <si>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</si>
  <si>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</si>
  <si>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</si>
  <si>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</si>
  <si>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</si>
  <si>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</si>
  <si>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</si>
  <si>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</si>
  <si>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</si>
  <si>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</si>
  <si>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</si>
  <si>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22/2/1399</t>
  </si>
  <si>
    <t>22/2/1400</t>
  </si>
  <si>
    <t>22/2/1401</t>
  </si>
  <si>
    <t>زاگرس 7422 تا 4730.9</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</si>
  <si>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</si>
  <si>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</si>
  <si>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</si>
  <si>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</si>
  <si>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</si>
  <si>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</si>
  <si>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</si>
  <si>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</si>
  <si>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</si>
  <si>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</si>
  <si>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</si>
  <si>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</si>
  <si>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</si>
  <si>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</si>
  <si>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</si>
  <si>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</si>
  <si>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</si>
  <si>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</si>
  <si>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</si>
  <si>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</si>
  <si>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</si>
  <si>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</si>
  <si>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</si>
  <si>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</si>
  <si>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</si>
  <si>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</si>
  <si>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</si>
  <si>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</si>
  <si>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</si>
  <si>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</si>
  <si>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</si>
  <si>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</si>
  <si>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</si>
  <si>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</si>
  <si>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</si>
  <si>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</si>
  <si>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</si>
  <si>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</si>
  <si>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</si>
  <si>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</si>
  <si>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</si>
  <si>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</si>
  <si>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</si>
  <si>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</si>
  <si>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</si>
  <si>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</si>
  <si>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</si>
  <si>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</si>
  <si>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</si>
  <si>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</si>
  <si>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</si>
  <si>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</si>
  <si>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</si>
  <si>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</si>
  <si>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زاگرس 23 تا 4720.8</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</si>
  <si>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</si>
  <si>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</si>
  <si>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</si>
  <si>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</si>
  <si>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</si>
  <si>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</si>
  <si>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</si>
  <si>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</si>
  <si>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</si>
  <si>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</si>
  <si>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</si>
  <si>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</si>
  <si>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</si>
  <si>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</si>
  <si>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</si>
  <si>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</si>
  <si>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</si>
  <si>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</si>
  <si>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</si>
  <si>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</si>
  <si>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</si>
  <si>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</si>
  <si>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</si>
  <si>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</si>
  <si>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</si>
  <si>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</si>
  <si>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</si>
  <si>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</si>
  <si>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</si>
  <si>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</si>
  <si>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</si>
  <si>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</si>
  <si>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</si>
  <si>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</si>
  <si>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</si>
  <si>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</si>
  <si>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زاگرس 876 تا 6250.1</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</si>
  <si>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</si>
  <si>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</si>
  <si>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</si>
  <si>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</si>
  <si>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</si>
  <si>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</si>
  <si>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</si>
  <si>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</si>
  <si>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</si>
  <si>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</si>
  <si>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</si>
  <si>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</si>
  <si>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</si>
  <si>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</si>
  <si>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</si>
  <si>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</si>
  <si>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</si>
  <si>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</si>
  <si>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بدهی اعتباری به مهدی و طلب 46582 عدد وغدیر 211 تومن 2/4/98</t>
  </si>
  <si>
    <t>مریم به حاج خانوم داد</t>
  </si>
  <si>
    <t>سیمرغ</t>
  </si>
  <si>
    <t>سیمرغ 303 تا 510</t>
  </si>
  <si>
    <t>واریز به بورس علی و سارا و مریم 3/4/98</t>
  </si>
  <si>
    <t>3/4/1398</t>
  </si>
  <si>
    <t>واریز 100000 تومن به حساب مریم و علی</t>
  </si>
  <si>
    <t>وغدیر 498 تا 213.3</t>
  </si>
  <si>
    <t>وغدیر 480 تا 213.3</t>
  </si>
  <si>
    <t>شاراک 1604 تا 821.9</t>
  </si>
  <si>
    <t>شاراک 1605 تا 821.3</t>
  </si>
  <si>
    <t>واریز به حساب انصار مریم بابت قسط 3/4/98</t>
  </si>
  <si>
    <t>4/4/1398</t>
  </si>
  <si>
    <t>5/4/1398</t>
  </si>
  <si>
    <t xml:space="preserve">اعتبار کارگزاری </t>
  </si>
  <si>
    <t>وغدیر 45000 تا 221</t>
  </si>
  <si>
    <t>پارس 2199 تا 4530</t>
  </si>
  <si>
    <t>پارس 23 تا 4530</t>
  </si>
  <si>
    <t xml:space="preserve">واریز 20105000 تومن </t>
  </si>
  <si>
    <t>بدهی نقدی به مهدی</t>
  </si>
  <si>
    <t>8/4/1398</t>
  </si>
  <si>
    <t>9/4/1398</t>
  </si>
  <si>
    <t>اعتبار مهدی</t>
  </si>
  <si>
    <t>اعتبار مریم</t>
  </si>
  <si>
    <t>10/4/1398</t>
  </si>
  <si>
    <t>asaliyani</t>
  </si>
  <si>
    <t>sahariyani</t>
  </si>
  <si>
    <t>تعداد سکه باقیمانده (3 تا دست مریم)</t>
  </si>
  <si>
    <t>وغدیر 206575 تا 203.6</t>
  </si>
  <si>
    <t>سود جم پیلن 1/5/1398 بانک تجارت</t>
  </si>
  <si>
    <t>سود شاراک سارا 31/4 بانک ملی</t>
  </si>
  <si>
    <t>سود شاراک مریم 9/5 بانک ملی</t>
  </si>
  <si>
    <t>سود شاراک علی 9/5/98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</si>
  <si>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</si>
  <si>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</si>
  <si>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</si>
  <si>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</si>
  <si>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</si>
  <si>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شاراک 77508 تا 709</t>
  </si>
  <si>
    <t>50000000 برای علی</t>
  </si>
  <si>
    <t>درهآور</t>
  </si>
  <si>
    <t>درهآور 92 تا 315</t>
  </si>
  <si>
    <t>اعتبار علی که نقدی تصویه شده</t>
  </si>
  <si>
    <t>واریز 50000 تومن حساب مریم و خروج 15482124 تومن حساب علی</t>
  </si>
  <si>
    <t>سود ایجاد شده تا 12/4/1398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</si>
</sst>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0" fillId="5" borderId="0" xfId="0" applyFill="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0"/>
  <sheetViews>
    <sheetView topLeftCell="G121" zoomScale="90" zoomScaleNormal="90" workbookViewId="0">
      <selection activeCell="Z60" sqref="Z60"/>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4432</v>
      </c>
      <c r="C1" s="168" t="s">
        <v>4299</v>
      </c>
      <c r="D1" s="168" t="s">
        <v>180</v>
      </c>
      <c r="J1" s="168" t="s">
        <v>3641</v>
      </c>
      <c r="K1" s="168" t="s">
        <v>180</v>
      </c>
      <c r="L1" s="168" t="s">
        <v>4484</v>
      </c>
      <c r="M1" s="168" t="s">
        <v>937</v>
      </c>
      <c r="N1" s="56" t="s">
        <v>940</v>
      </c>
      <c r="O1" s="99" t="s">
        <v>8</v>
      </c>
      <c r="W1" s="168" t="s">
        <v>180</v>
      </c>
      <c r="X1" s="168" t="s">
        <v>4538</v>
      </c>
      <c r="Y1" s="168" t="s">
        <v>950</v>
      </c>
      <c r="Z1" s="168" t="s">
        <v>937</v>
      </c>
      <c r="AA1" s="168" t="s">
        <v>4538</v>
      </c>
      <c r="AB1" s="168" t="s">
        <v>950</v>
      </c>
      <c r="AC1" s="168" t="s">
        <v>937</v>
      </c>
      <c r="AD1" s="168" t="s">
        <v>4633</v>
      </c>
      <c r="AE1" s="168" t="s">
        <v>4634</v>
      </c>
      <c r="AF1" s="99" t="s">
        <v>8</v>
      </c>
    </row>
    <row r="2" spans="1:32">
      <c r="A2" s="99" t="s">
        <v>4242</v>
      </c>
      <c r="B2" s="203">
        <v>1707</v>
      </c>
      <c r="C2" s="204" t="s">
        <v>4607</v>
      </c>
      <c r="D2" s="99" t="s">
        <v>4499</v>
      </c>
      <c r="J2" s="168">
        <v>1</v>
      </c>
      <c r="K2" s="168" t="s">
        <v>4285</v>
      </c>
      <c r="L2" s="113">
        <v>4270000</v>
      </c>
      <c r="M2" s="168">
        <v>10</v>
      </c>
      <c r="N2" s="113">
        <f>L2*M2</f>
        <v>42700000</v>
      </c>
      <c r="O2" s="99" t="s">
        <v>751</v>
      </c>
      <c r="W2" s="168" t="s">
        <v>4529</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4581</v>
      </c>
      <c r="B3" s="203">
        <v>1184</v>
      </c>
      <c r="C3" s="204" t="s">
        <v>4587</v>
      </c>
      <c r="D3" s="99"/>
      <c r="J3" s="168">
        <v>2</v>
      </c>
      <c r="K3" s="168" t="s">
        <v>4495</v>
      </c>
      <c r="L3" s="113">
        <v>3845000</v>
      </c>
      <c r="M3" s="168">
        <v>4</v>
      </c>
      <c r="N3" s="113">
        <f>L3*M3</f>
        <v>15380000</v>
      </c>
      <c r="O3" s="99" t="s">
        <v>452</v>
      </c>
      <c r="W3" s="168" t="s">
        <v>4528</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4582</v>
      </c>
      <c r="B4" s="203">
        <v>1804</v>
      </c>
      <c r="C4" s="204" t="s">
        <v>4588</v>
      </c>
      <c r="D4" s="99"/>
      <c r="F4" t="s">
        <v>25</v>
      </c>
      <c r="J4" s="168">
        <v>3</v>
      </c>
      <c r="K4" s="168" t="s">
        <v>4230</v>
      </c>
      <c r="L4" s="113">
        <v>3390000</v>
      </c>
      <c r="M4" s="168">
        <v>2</v>
      </c>
      <c r="N4" s="113">
        <f>L4*M4</f>
        <v>6780000</v>
      </c>
      <c r="O4" s="99" t="s">
        <v>751</v>
      </c>
      <c r="W4" s="168" t="s">
        <v>4530</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4613</v>
      </c>
      <c r="L5" s="220">
        <v>0</v>
      </c>
      <c r="M5" s="219">
        <v>3</v>
      </c>
      <c r="N5" s="220">
        <f t="shared" ref="N5" si="3">L5*M5</f>
        <v>0</v>
      </c>
      <c r="O5" s="221" t="s">
        <v>4617</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3">
        <v>4060000</v>
      </c>
      <c r="C6" s="169">
        <v>4260000</v>
      </c>
      <c r="D6" s="99" t="s">
        <v>4499</v>
      </c>
      <c r="F6" t="s">
        <v>25</v>
      </c>
      <c r="G6" s="96"/>
      <c r="H6" s="96"/>
      <c r="I6" s="96"/>
      <c r="J6" s="168">
        <v>5</v>
      </c>
      <c r="K6" s="168" t="s">
        <v>4618</v>
      </c>
      <c r="L6" s="113">
        <v>4183832</v>
      </c>
      <c r="M6" s="168">
        <v>6</v>
      </c>
      <c r="N6" s="113">
        <v>25071612</v>
      </c>
      <c r="O6" s="99" t="s">
        <v>452</v>
      </c>
      <c r="P6" s="96"/>
      <c r="Q6" s="96"/>
      <c r="R6" s="96"/>
      <c r="S6" s="96"/>
      <c r="W6" s="168" t="s">
        <v>4622</v>
      </c>
      <c r="X6" s="168" t="s">
        <v>1086</v>
      </c>
      <c r="Y6" s="113">
        <v>4183832</v>
      </c>
      <c r="Z6" s="168">
        <f>AB6*AC6/Y6</f>
        <v>2.132843288162622</v>
      </c>
      <c r="AA6" s="191" t="s">
        <v>4389</v>
      </c>
      <c r="AB6" s="113">
        <v>3405.9</v>
      </c>
      <c r="AC6" s="168">
        <v>2620</v>
      </c>
      <c r="AD6" s="191">
        <f t="shared" si="0"/>
        <v>1228.4071757831998</v>
      </c>
      <c r="AE6" s="168">
        <f t="shared" si="2"/>
        <v>8.1406232372619174E-4</v>
      </c>
      <c r="AF6" s="99"/>
    </row>
    <row r="7" spans="1:32">
      <c r="A7" s="99" t="s">
        <v>4561</v>
      </c>
      <c r="B7" s="203">
        <v>1689</v>
      </c>
      <c r="C7" s="169"/>
      <c r="D7" s="99"/>
      <c r="F7" s="96">
        <v>0</v>
      </c>
      <c r="G7" s="96"/>
      <c r="H7" s="96"/>
      <c r="I7" s="96"/>
      <c r="J7" s="168">
        <v>6</v>
      </c>
      <c r="K7" s="168" t="s">
        <v>4622</v>
      </c>
      <c r="L7" s="113">
        <v>4186993</v>
      </c>
      <c r="M7" s="168">
        <v>4</v>
      </c>
      <c r="N7" s="113">
        <v>16727037</v>
      </c>
      <c r="O7" s="99" t="s">
        <v>751</v>
      </c>
      <c r="P7" s="96"/>
      <c r="Q7" s="96"/>
      <c r="R7" s="96"/>
      <c r="S7" s="96"/>
      <c r="W7" s="168" t="s">
        <v>4622</v>
      </c>
      <c r="X7" s="168" t="s">
        <v>1086</v>
      </c>
      <c r="Y7" s="113">
        <v>4183832</v>
      </c>
      <c r="Z7" s="168">
        <f t="shared" ref="Z7:Z19" si="4">AB7*AC7/Y7</f>
        <v>0.24118578375039915</v>
      </c>
      <c r="AA7" s="168" t="s">
        <v>4623</v>
      </c>
      <c r="AB7" s="113">
        <v>217.1</v>
      </c>
      <c r="AC7" s="168">
        <v>4648</v>
      </c>
      <c r="AD7" s="168">
        <f t="shared" si="0"/>
        <v>19271.450944265314</v>
      </c>
      <c r="AE7" s="168">
        <f t="shared" si="2"/>
        <v>5.1890228861961954E-5</v>
      </c>
      <c r="AF7" s="99"/>
    </row>
    <row r="8" spans="1:32">
      <c r="A8" s="99" t="s">
        <v>4535</v>
      </c>
      <c r="B8" s="203">
        <v>3414</v>
      </c>
      <c r="C8" s="169">
        <v>3622</v>
      </c>
      <c r="D8" s="99"/>
      <c r="F8">
        <v>0</v>
      </c>
      <c r="G8" s="96"/>
      <c r="H8" s="96"/>
      <c r="I8" s="96"/>
      <c r="J8" s="168">
        <v>7</v>
      </c>
      <c r="K8" s="168" t="s">
        <v>4627</v>
      </c>
      <c r="L8" s="113">
        <v>4223698</v>
      </c>
      <c r="M8" s="168">
        <v>10</v>
      </c>
      <c r="N8" s="113">
        <v>42236984</v>
      </c>
      <c r="O8" s="99" t="s">
        <v>452</v>
      </c>
      <c r="P8" s="96"/>
      <c r="Q8" s="96"/>
      <c r="R8" s="96"/>
      <c r="S8" s="96"/>
      <c r="W8" s="168" t="s">
        <v>4622</v>
      </c>
      <c r="X8" s="168" t="s">
        <v>1086</v>
      </c>
      <c r="Y8" s="113">
        <v>4183832</v>
      </c>
      <c r="Z8" s="168">
        <f t="shared" si="4"/>
        <v>3.2966189847011065</v>
      </c>
      <c r="AA8" s="209" t="s">
        <v>4534</v>
      </c>
      <c r="AB8" s="113">
        <v>4500</v>
      </c>
      <c r="AC8" s="168">
        <v>3065</v>
      </c>
      <c r="AD8" s="209">
        <f t="shared" ref="AD8:AD15" si="5">Y8/AB8</f>
        <v>929.74044444444439</v>
      </c>
      <c r="AE8" s="168">
        <f t="shared" si="2"/>
        <v>1.0755689999024818E-3</v>
      </c>
      <c r="AF8" s="99"/>
    </row>
    <row r="9" spans="1:32">
      <c r="A9" s="99" t="s">
        <v>4577</v>
      </c>
      <c r="B9" s="203">
        <v>1174</v>
      </c>
      <c r="C9" s="169" t="s">
        <v>25</v>
      </c>
      <c r="D9" s="99"/>
      <c r="F9">
        <v>0</v>
      </c>
      <c r="G9" s="96"/>
      <c r="H9" s="96"/>
      <c r="I9" s="96"/>
      <c r="J9" s="168">
        <v>8</v>
      </c>
      <c r="K9" s="168" t="s">
        <v>4627</v>
      </c>
      <c r="L9" s="113">
        <v>4223698</v>
      </c>
      <c r="M9" s="168">
        <v>11</v>
      </c>
      <c r="N9" s="113">
        <v>46460683</v>
      </c>
      <c r="O9" s="99" t="s">
        <v>751</v>
      </c>
      <c r="P9" s="96"/>
      <c r="Q9" s="96"/>
      <c r="R9" s="96"/>
      <c r="S9" s="96"/>
      <c r="W9" s="168" t="s">
        <v>4627</v>
      </c>
      <c r="X9" s="168" t="s">
        <v>1086</v>
      </c>
      <c r="Y9" s="113">
        <v>4186993</v>
      </c>
      <c r="Z9" s="168">
        <f t="shared" si="4"/>
        <v>0.95852522323299805</v>
      </c>
      <c r="AA9" s="191" t="s">
        <v>4389</v>
      </c>
      <c r="AB9" s="113">
        <v>3322.3</v>
      </c>
      <c r="AC9" s="168">
        <v>1208</v>
      </c>
      <c r="AD9" s="191">
        <f t="shared" si="5"/>
        <v>1260.2693916864821</v>
      </c>
      <c r="AE9" s="168">
        <f t="shared" si="2"/>
        <v>7.934811450604288E-4</v>
      </c>
      <c r="AF9" s="99"/>
    </row>
    <row r="10" spans="1:32">
      <c r="A10" s="99" t="s">
        <v>4408</v>
      </c>
      <c r="B10" s="203">
        <v>472</v>
      </c>
      <c r="C10" s="169">
        <v>540</v>
      </c>
      <c r="D10" s="99"/>
      <c r="F10">
        <v>0</v>
      </c>
      <c r="G10" s="122"/>
      <c r="H10" s="96"/>
      <c r="I10" s="96"/>
      <c r="J10" s="168">
        <v>9</v>
      </c>
      <c r="K10" s="168" t="s">
        <v>4628</v>
      </c>
      <c r="L10" s="113">
        <f>N10/M10</f>
        <v>4369699.111111111</v>
      </c>
      <c r="M10" s="168">
        <v>4.5</v>
      </c>
      <c r="N10" s="113">
        <v>19663646</v>
      </c>
      <c r="O10" s="99" t="s">
        <v>751</v>
      </c>
      <c r="P10" s="96"/>
      <c r="Q10" s="96"/>
      <c r="R10" s="96"/>
      <c r="S10" s="96"/>
      <c r="T10" s="96"/>
      <c r="W10" s="168" t="s">
        <v>4627</v>
      </c>
      <c r="X10" s="168" t="s">
        <v>1086</v>
      </c>
      <c r="Y10" s="113">
        <v>4186993</v>
      </c>
      <c r="Z10" s="168">
        <f t="shared" si="4"/>
        <v>3.0092622557525175</v>
      </c>
      <c r="AA10" s="216" t="s">
        <v>4393</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4628</v>
      </c>
      <c r="L11" s="113">
        <f>N11/M11</f>
        <v>4369699.111111111</v>
      </c>
      <c r="M11" s="168">
        <v>4.5</v>
      </c>
      <c r="N11" s="113">
        <v>19663646</v>
      </c>
      <c r="O11" s="99" t="s">
        <v>452</v>
      </c>
      <c r="P11" s="96"/>
      <c r="Q11" s="96"/>
      <c r="R11" s="96"/>
      <c r="S11" s="96"/>
      <c r="T11" s="96"/>
      <c r="W11" s="168" t="s">
        <v>4628</v>
      </c>
      <c r="X11" s="168" t="s">
        <v>1086</v>
      </c>
      <c r="Y11" s="113">
        <v>4223698</v>
      </c>
      <c r="Z11" s="168">
        <f t="shared" si="4"/>
        <v>11.463347995050782</v>
      </c>
      <c r="AA11" s="216" t="s">
        <v>4393</v>
      </c>
      <c r="AB11" s="113">
        <v>5330</v>
      </c>
      <c r="AC11" s="168">
        <v>9084</v>
      </c>
      <c r="AD11" s="216">
        <f t="shared" si="5"/>
        <v>792.43864915572237</v>
      </c>
      <c r="AE11" s="168">
        <f t="shared" si="2"/>
        <v>1.2619273442372064E-3</v>
      </c>
      <c r="AF11" s="99"/>
    </row>
    <row r="12" spans="1:32">
      <c r="A12" s="99" t="s">
        <v>4554</v>
      </c>
      <c r="B12" s="203">
        <v>3965312</v>
      </c>
      <c r="C12" s="169"/>
      <c r="D12" s="59" t="s">
        <v>4885</v>
      </c>
      <c r="F12" s="114">
        <v>0</v>
      </c>
      <c r="J12" s="168">
        <v>11</v>
      </c>
      <c r="K12" s="168" t="s">
        <v>4652</v>
      </c>
      <c r="L12" s="113">
        <v>4374525</v>
      </c>
      <c r="M12" s="168">
        <v>1</v>
      </c>
      <c r="N12" s="113">
        <v>4374525</v>
      </c>
      <c r="O12" s="99" t="s">
        <v>751</v>
      </c>
      <c r="P12" s="96"/>
      <c r="Q12" s="96"/>
      <c r="R12" s="96"/>
      <c r="S12" s="96"/>
      <c r="W12" s="168" t="s">
        <v>4628</v>
      </c>
      <c r="X12" s="168" t="s">
        <v>1086</v>
      </c>
      <c r="Y12" s="113">
        <v>4223698</v>
      </c>
      <c r="Z12" s="168">
        <f t="shared" si="4"/>
        <v>9.4380816762940896</v>
      </c>
      <c r="AA12" s="222" t="s">
        <v>4408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4652</v>
      </c>
      <c r="L13" s="113">
        <v>4374525</v>
      </c>
      <c r="M13" s="168">
        <v>1</v>
      </c>
      <c r="N13" s="113">
        <v>4374525</v>
      </c>
      <c r="O13" s="99" t="s">
        <v>452</v>
      </c>
      <c r="P13" s="96"/>
      <c r="Q13" s="96"/>
      <c r="R13" s="96"/>
      <c r="S13" s="96"/>
      <c r="W13" s="168" t="s">
        <v>4642</v>
      </c>
      <c r="X13" s="168" t="s">
        <v>1086</v>
      </c>
      <c r="Y13" s="113">
        <v>4369699</v>
      </c>
      <c r="Z13" s="168">
        <f t="shared" si="4"/>
        <v>0.22790475957268452</v>
      </c>
      <c r="AA13" s="168" t="s">
        <v>4609</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4665</v>
      </c>
      <c r="L14" s="169">
        <v>4367053</v>
      </c>
      <c r="M14" s="168">
        <v>1.5</v>
      </c>
      <c r="N14" s="113">
        <v>6550580</v>
      </c>
      <c r="O14" s="99" t="s">
        <v>751</v>
      </c>
      <c r="W14" s="168" t="s">
        <v>4642</v>
      </c>
      <c r="X14" s="168" t="s">
        <v>1086</v>
      </c>
      <c r="Y14" s="113">
        <v>4369699</v>
      </c>
      <c r="Z14" s="168">
        <f t="shared" si="4"/>
        <v>8.608136716052984</v>
      </c>
      <c r="AA14" s="216" t="s">
        <v>4393</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4665</v>
      </c>
      <c r="L15" s="169">
        <v>4367053</v>
      </c>
      <c r="M15" s="168">
        <v>1.5</v>
      </c>
      <c r="N15" s="113">
        <v>6550580</v>
      </c>
      <c r="O15" s="99" t="s">
        <v>452</v>
      </c>
      <c r="W15" s="168" t="s">
        <v>4656</v>
      </c>
      <c r="X15" s="168" t="s">
        <v>1086</v>
      </c>
      <c r="Y15" s="113">
        <v>4374000</v>
      </c>
      <c r="Z15" s="168">
        <f t="shared" si="4"/>
        <v>2.0343806584362141</v>
      </c>
      <c r="AA15" s="216" t="s">
        <v>4393</v>
      </c>
      <c r="AB15" s="117">
        <v>5179.5</v>
      </c>
      <c r="AC15" s="19">
        <v>1718</v>
      </c>
      <c r="AD15" s="216">
        <f t="shared" si="5"/>
        <v>844.48305821025201</v>
      </c>
      <c r="AE15" s="168">
        <f t="shared" si="2"/>
        <v>1.184156378600823E-3</v>
      </c>
      <c r="AF15" s="99"/>
    </row>
    <row r="16" spans="1:32">
      <c r="A16" s="99"/>
      <c r="B16" s="203"/>
      <c r="C16" s="169"/>
      <c r="D16" s="99"/>
      <c r="J16" s="210">
        <v>15</v>
      </c>
      <c r="K16" s="210" t="s">
        <v>4667</v>
      </c>
      <c r="L16" s="169">
        <v>4433930</v>
      </c>
      <c r="M16" s="210">
        <v>1.5</v>
      </c>
      <c r="N16" s="113">
        <f>L16*M16</f>
        <v>6650895</v>
      </c>
      <c r="O16" s="99" t="s">
        <v>751</v>
      </c>
      <c r="W16" s="168" t="s">
        <v>4667</v>
      </c>
      <c r="X16" s="168" t="s">
        <v>1086</v>
      </c>
      <c r="Y16" s="113">
        <v>4367053</v>
      </c>
      <c r="Z16" s="168">
        <f t="shared" si="4"/>
        <v>2.1370469055447687</v>
      </c>
      <c r="AA16" s="191" t="s">
        <v>4389</v>
      </c>
      <c r="AB16" s="117">
        <v>3184.1</v>
      </c>
      <c r="AC16" s="19">
        <v>2931</v>
      </c>
      <c r="AD16" s="191">
        <f>Y16/AB16</f>
        <v>1371.5187965202099</v>
      </c>
      <c r="AE16" s="168">
        <f t="shared" si="2"/>
        <v>7.291186985823163E-4</v>
      </c>
      <c r="AF16" s="99"/>
    </row>
    <row r="17" spans="1:32">
      <c r="A17" s="99"/>
      <c r="J17" s="210">
        <v>16</v>
      </c>
      <c r="K17" s="210" t="s">
        <v>4667</v>
      </c>
      <c r="L17" s="169">
        <v>4433930</v>
      </c>
      <c r="M17" s="210">
        <v>1.5</v>
      </c>
      <c r="N17" s="113">
        <f>L17*M17</f>
        <v>6650895</v>
      </c>
      <c r="O17" s="99" t="s">
        <v>452</v>
      </c>
      <c r="W17" s="211" t="s">
        <v>4667</v>
      </c>
      <c r="X17" s="211" t="s">
        <v>1086</v>
      </c>
      <c r="Y17" s="113">
        <v>4367053</v>
      </c>
      <c r="Z17" s="211">
        <f t="shared" si="4"/>
        <v>0.12751793944337292</v>
      </c>
      <c r="AA17" s="222" t="s">
        <v>4408</v>
      </c>
      <c r="AB17" s="117">
        <v>508.1</v>
      </c>
      <c r="AC17" s="19">
        <v>1096</v>
      </c>
      <c r="AD17" s="222">
        <f>Y17/AB17</f>
        <v>8594.8691202519185</v>
      </c>
      <c r="AE17" s="211">
        <f t="shared" si="2"/>
        <v>1.1634848489358842E-4</v>
      </c>
      <c r="AF17" s="99"/>
    </row>
    <row r="18" spans="1:32">
      <c r="A18" s="96"/>
      <c r="B18" s="96"/>
      <c r="C18" s="96"/>
      <c r="D18" s="96"/>
      <c r="J18" s="213">
        <v>17</v>
      </c>
      <c r="K18" s="213" t="s">
        <v>4691</v>
      </c>
      <c r="L18" s="169">
        <v>4291628</v>
      </c>
      <c r="M18" s="213">
        <v>0.5</v>
      </c>
      <c r="N18" s="113">
        <v>2145814</v>
      </c>
      <c r="O18" s="99" t="s">
        <v>751</v>
      </c>
      <c r="W18" s="168" t="s">
        <v>4681</v>
      </c>
      <c r="X18" s="168" t="s">
        <v>1086</v>
      </c>
      <c r="Y18" s="113">
        <v>4433930</v>
      </c>
      <c r="Z18" s="168">
        <f t="shared" si="4"/>
        <v>2.9409688470499082</v>
      </c>
      <c r="AA18" s="197" t="s">
        <v>4389</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4691</v>
      </c>
      <c r="L19" s="169">
        <v>4291628</v>
      </c>
      <c r="M19" s="213">
        <v>0.5</v>
      </c>
      <c r="N19" s="113">
        <v>2145814</v>
      </c>
      <c r="O19" s="99" t="s">
        <v>452</v>
      </c>
      <c r="R19" t="s">
        <v>25</v>
      </c>
      <c r="T19" t="s">
        <v>25</v>
      </c>
      <c r="W19" s="168" t="s">
        <v>4681</v>
      </c>
      <c r="X19" s="168" t="s">
        <v>1086</v>
      </c>
      <c r="Y19" s="113">
        <v>4433930</v>
      </c>
      <c r="Z19" s="168">
        <f t="shared" si="4"/>
        <v>0.13984559972755545</v>
      </c>
      <c r="AA19" s="222" t="s">
        <v>4408</v>
      </c>
      <c r="AB19" s="117">
        <v>503.3</v>
      </c>
      <c r="AC19" s="19">
        <v>1232</v>
      </c>
      <c r="AD19" s="222">
        <f t="shared" si="6"/>
        <v>8809.7158752235246</v>
      </c>
      <c r="AE19" s="168">
        <f t="shared" si="2"/>
        <v>1.1351103873989892E-4</v>
      </c>
      <c r="AF19" s="99"/>
    </row>
    <row r="20" spans="1:32">
      <c r="J20" s="213">
        <v>19</v>
      </c>
      <c r="K20" s="213" t="s">
        <v>4703</v>
      </c>
      <c r="L20" s="169">
        <v>4369730</v>
      </c>
      <c r="M20" s="213">
        <v>1</v>
      </c>
      <c r="N20" s="113">
        <f t="shared" ref="N20:N38" si="7">L20*M20</f>
        <v>4369730</v>
      </c>
      <c r="O20" s="99" t="s">
        <v>751</v>
      </c>
      <c r="W20" s="168" t="s">
        <v>4687</v>
      </c>
      <c r="X20" s="168" t="s">
        <v>1086</v>
      </c>
      <c r="Y20" s="113">
        <v>4183832</v>
      </c>
      <c r="Z20" s="213">
        <v>0.24415416297786335</v>
      </c>
      <c r="AA20" s="222" t="s">
        <v>4408</v>
      </c>
      <c r="AB20" s="117">
        <v>501.2</v>
      </c>
      <c r="AC20" s="19">
        <f>Y20*Z20/AB20</f>
        <v>2038.1085395051875</v>
      </c>
      <c r="AD20" s="222">
        <f t="shared" ref="AD20:AD42" si="8">Y20/AB20</f>
        <v>8347.6296887470071</v>
      </c>
      <c r="AE20" s="168">
        <f t="shared" si="2"/>
        <v>1.1979448505580529E-4</v>
      </c>
      <c r="AF20" s="99"/>
    </row>
    <row r="21" spans="1:32">
      <c r="J21" s="213">
        <v>20</v>
      </c>
      <c r="K21" s="213" t="s">
        <v>4703</v>
      </c>
      <c r="L21" s="169">
        <v>4369730</v>
      </c>
      <c r="M21" s="213">
        <v>1</v>
      </c>
      <c r="N21" s="113">
        <f t="shared" si="7"/>
        <v>4369730</v>
      </c>
      <c r="O21" s="99" t="s">
        <v>452</v>
      </c>
      <c r="R21" t="s">
        <v>25</v>
      </c>
      <c r="W21" s="213" t="s">
        <v>4691</v>
      </c>
      <c r="X21" s="213" t="s">
        <v>1086</v>
      </c>
      <c r="Y21" s="113">
        <v>4183832</v>
      </c>
      <c r="Z21" s="213">
        <v>0.23385260211213069</v>
      </c>
      <c r="AA21" s="222" t="s">
        <v>4408</v>
      </c>
      <c r="AB21" s="117">
        <v>481.7</v>
      </c>
      <c r="AC21" s="19">
        <f>Y21*Z21/AB21</f>
        <v>2031.1397135146358</v>
      </c>
      <c r="AD21" s="222">
        <f t="shared" si="8"/>
        <v>8685.555324891011</v>
      </c>
      <c r="AE21" s="213">
        <f t="shared" si="2"/>
        <v>1.1513368605622787E-4</v>
      </c>
      <c r="AF21" s="99"/>
    </row>
    <row r="22" spans="1:32">
      <c r="J22" s="168">
        <v>21</v>
      </c>
      <c r="K22" s="168" t="s">
        <v>4704</v>
      </c>
      <c r="L22" s="113">
        <v>4398820</v>
      </c>
      <c r="M22" s="168">
        <v>2</v>
      </c>
      <c r="N22" s="113">
        <f t="shared" si="7"/>
        <v>8797640</v>
      </c>
      <c r="O22" s="99" t="s">
        <v>751</v>
      </c>
      <c r="R22" t="s">
        <v>25</v>
      </c>
      <c r="W22" s="213" t="s">
        <v>4694</v>
      </c>
      <c r="X22" s="213" t="s">
        <v>1086</v>
      </c>
      <c r="Y22" s="113">
        <v>4291628</v>
      </c>
      <c r="Z22" s="213">
        <f t="shared" ref="Z22:Z43" si="9">AB22*AC22/Y22</f>
        <v>0.94748414820669458</v>
      </c>
      <c r="AA22" s="197" t="s">
        <v>4389</v>
      </c>
      <c r="AB22" s="117">
        <v>3115.9</v>
      </c>
      <c r="AC22" s="19">
        <v>1305</v>
      </c>
      <c r="AD22" s="197">
        <f t="shared" si="8"/>
        <v>1377.3317500561634</v>
      </c>
      <c r="AE22" s="213">
        <f t="shared" si="2"/>
        <v>7.2604149287869312E-4</v>
      </c>
      <c r="AF22" s="99"/>
    </row>
    <row r="23" spans="1:32">
      <c r="A23" s="99" t="s">
        <v>180</v>
      </c>
      <c r="B23" s="99" t="s">
        <v>4697</v>
      </c>
      <c r="C23" s="99" t="s">
        <v>4698</v>
      </c>
      <c r="D23" s="99" t="s">
        <v>4699</v>
      </c>
      <c r="E23" s="69" t="s">
        <v>4700</v>
      </c>
      <c r="J23" s="213">
        <v>22</v>
      </c>
      <c r="K23" s="213" t="s">
        <v>4704</v>
      </c>
      <c r="L23" s="113">
        <v>4398820</v>
      </c>
      <c r="M23" s="213">
        <v>2</v>
      </c>
      <c r="N23" s="113">
        <f t="shared" si="7"/>
        <v>8797640</v>
      </c>
      <c r="O23" s="99" t="s">
        <v>452</v>
      </c>
      <c r="Q23" t="s">
        <v>25</v>
      </c>
      <c r="R23" t="s">
        <v>25</v>
      </c>
      <c r="W23" s="168" t="s">
        <v>4694</v>
      </c>
      <c r="X23" s="168" t="s">
        <v>1086</v>
      </c>
      <c r="Y23" s="113">
        <v>4291628</v>
      </c>
      <c r="Z23" s="213">
        <f t="shared" si="9"/>
        <v>4.7641314671262279E-2</v>
      </c>
      <c r="AA23" s="19" t="s">
        <v>4582</v>
      </c>
      <c r="AB23" s="117">
        <v>178.1</v>
      </c>
      <c r="AC23" s="19">
        <v>1148</v>
      </c>
      <c r="AD23" s="19">
        <f t="shared" si="8"/>
        <v>24096.732172936554</v>
      </c>
      <c r="AE23" s="168">
        <f t="shared" si="2"/>
        <v>4.1499403023747632E-5</v>
      </c>
      <c r="AF23" s="99"/>
    </row>
    <row r="24" spans="1:32">
      <c r="A24" s="99" t="s">
        <v>4656</v>
      </c>
      <c r="B24" s="95">
        <v>4080000</v>
      </c>
      <c r="C24" s="95">
        <v>4200000</v>
      </c>
      <c r="D24" s="95"/>
      <c r="E24" s="95"/>
      <c r="J24" s="219">
        <v>23</v>
      </c>
      <c r="K24" s="219" t="s">
        <v>4704</v>
      </c>
      <c r="L24" s="220">
        <v>4388600</v>
      </c>
      <c r="M24" s="219">
        <v>5</v>
      </c>
      <c r="N24" s="220">
        <f t="shared" si="7"/>
        <v>21943000</v>
      </c>
      <c r="O24" s="221" t="s">
        <v>4715</v>
      </c>
      <c r="W24" s="213" t="s">
        <v>4704</v>
      </c>
      <c r="X24" s="213" t="s">
        <v>1086</v>
      </c>
      <c r="Y24" s="113">
        <v>4369730</v>
      </c>
      <c r="Z24" s="213">
        <f t="shared" si="9"/>
        <v>1.9131203758584627</v>
      </c>
      <c r="AA24" s="197" t="s">
        <v>4389</v>
      </c>
      <c r="AB24" s="117">
        <v>3120.5</v>
      </c>
      <c r="AC24" s="19">
        <v>2679</v>
      </c>
      <c r="AD24" s="197">
        <f t="shared" si="8"/>
        <v>1400.3300753084441</v>
      </c>
      <c r="AE24" s="213">
        <f t="shared" si="2"/>
        <v>7.1411734821144558E-4</v>
      </c>
      <c r="AF24" s="99"/>
    </row>
    <row r="25" spans="1:32">
      <c r="A25" s="99" t="s">
        <v>4665</v>
      </c>
      <c r="B25" s="95">
        <v>4100000</v>
      </c>
      <c r="C25" s="95">
        <v>4230000</v>
      </c>
      <c r="D25" s="95"/>
      <c r="E25" s="95"/>
      <c r="J25" s="213">
        <v>24</v>
      </c>
      <c r="K25" s="213" t="s">
        <v>4705</v>
      </c>
      <c r="L25" s="113">
        <v>4445103</v>
      </c>
      <c r="M25" s="213">
        <v>1.5</v>
      </c>
      <c r="N25" s="113">
        <f t="shared" si="7"/>
        <v>6667654.5</v>
      </c>
      <c r="O25" s="99" t="s">
        <v>751</v>
      </c>
      <c r="W25" s="213" t="s">
        <v>4705</v>
      </c>
      <c r="X25" s="213" t="s">
        <v>1086</v>
      </c>
      <c r="Y25" s="113">
        <v>4398820</v>
      </c>
      <c r="Z25" s="213">
        <f t="shared" si="9"/>
        <v>3.9898935623644527</v>
      </c>
      <c r="AA25" s="197" t="s">
        <v>4389</v>
      </c>
      <c r="AB25" s="117">
        <v>3112.4</v>
      </c>
      <c r="AC25" s="19">
        <v>5639</v>
      </c>
      <c r="AD25" s="197">
        <f t="shared" si="8"/>
        <v>1413.3209099087521</v>
      </c>
      <c r="AE25" s="213">
        <f t="shared" si="2"/>
        <v>7.0755338931804436E-4</v>
      </c>
      <c r="AF25" s="99"/>
    </row>
    <row r="26" spans="1:32">
      <c r="A26" s="99" t="s">
        <v>4667</v>
      </c>
      <c r="B26" s="95">
        <v>4230000</v>
      </c>
      <c r="C26" s="95">
        <v>4330000</v>
      </c>
      <c r="D26" s="95">
        <v>12200</v>
      </c>
      <c r="E26" s="95">
        <v>12350</v>
      </c>
      <c r="J26" s="213">
        <v>25</v>
      </c>
      <c r="K26" s="213" t="s">
        <v>4705</v>
      </c>
      <c r="L26" s="113">
        <v>4445103</v>
      </c>
      <c r="M26" s="213">
        <v>1.5</v>
      </c>
      <c r="N26" s="113">
        <f t="shared" si="7"/>
        <v>6667654.5</v>
      </c>
      <c r="O26" s="99" t="s">
        <v>452</v>
      </c>
      <c r="R26" t="s">
        <v>25</v>
      </c>
      <c r="W26" s="213" t="s">
        <v>4714</v>
      </c>
      <c r="X26" s="213" t="s">
        <v>1086</v>
      </c>
      <c r="Y26" s="113">
        <v>4445103</v>
      </c>
      <c r="Z26" s="213">
        <f>AB26*AC26/Y26</f>
        <v>1.8767484128039327</v>
      </c>
      <c r="AA26" s="222" t="s">
        <v>4408</v>
      </c>
      <c r="AB26" s="117">
        <v>489</v>
      </c>
      <c r="AC26" s="19">
        <v>17060</v>
      </c>
      <c r="AD26" s="222">
        <f t="shared" si="8"/>
        <v>9090.1901840490791</v>
      </c>
      <c r="AE26" s="213">
        <f t="shared" si="2"/>
        <v>1.1000869946095737E-4</v>
      </c>
      <c r="AF26" s="99"/>
    </row>
    <row r="27" spans="1:32">
      <c r="A27" s="99" t="s">
        <v>4681</v>
      </c>
      <c r="B27" s="95">
        <v>4270000</v>
      </c>
      <c r="C27" s="95">
        <v>4370000</v>
      </c>
      <c r="D27" s="95"/>
      <c r="E27" s="95"/>
      <c r="J27" s="213">
        <v>26</v>
      </c>
      <c r="K27" s="213" t="s">
        <v>4714</v>
      </c>
      <c r="L27" s="113">
        <v>4490623</v>
      </c>
      <c r="M27" s="213">
        <v>2</v>
      </c>
      <c r="N27" s="113">
        <f t="shared" si="7"/>
        <v>8981246</v>
      </c>
      <c r="O27" s="99" t="s">
        <v>751</v>
      </c>
      <c r="R27" t="s">
        <v>25</v>
      </c>
      <c r="S27" t="s">
        <v>25</v>
      </c>
      <c r="W27" s="213" t="s">
        <v>3684</v>
      </c>
      <c r="X27" s="213" t="s">
        <v>1086</v>
      </c>
      <c r="Y27" s="113">
        <v>4490623</v>
      </c>
      <c r="Z27" s="213">
        <f t="shared" si="9"/>
        <v>3.9795864404560346</v>
      </c>
      <c r="AA27" s="222" t="s">
        <v>4408</v>
      </c>
      <c r="AB27" s="213">
        <v>486.4</v>
      </c>
      <c r="AC27" s="213">
        <v>36741</v>
      </c>
      <c r="AD27" s="222">
        <f t="shared" si="8"/>
        <v>9232.3663651315801</v>
      </c>
      <c r="AE27" s="213">
        <f t="shared" si="2"/>
        <v>1.0831459242960275E-4</v>
      </c>
      <c r="AF27" s="99"/>
    </row>
    <row r="28" spans="1:32">
      <c r="A28" s="99" t="s">
        <v>4691</v>
      </c>
      <c r="B28" s="95">
        <v>3980000</v>
      </c>
      <c r="C28" s="95">
        <v>4120000</v>
      </c>
      <c r="D28" s="95">
        <v>11450</v>
      </c>
      <c r="E28" s="95">
        <v>11650</v>
      </c>
      <c r="J28" s="213">
        <v>27</v>
      </c>
      <c r="K28" s="213" t="s">
        <v>4714</v>
      </c>
      <c r="L28" s="113">
        <v>4490623</v>
      </c>
      <c r="M28" s="213">
        <v>2</v>
      </c>
      <c r="N28" s="113">
        <f t="shared" si="7"/>
        <v>8981246</v>
      </c>
      <c r="O28" s="99" t="s">
        <v>452</v>
      </c>
      <c r="W28" s="213" t="s">
        <v>4727</v>
      </c>
      <c r="X28" s="213" t="s">
        <v>1086</v>
      </c>
      <c r="Y28" s="113">
        <v>4590878</v>
      </c>
      <c r="Z28" s="213">
        <f t="shared" si="9"/>
        <v>2.0741130563696095</v>
      </c>
      <c r="AA28" s="208" t="s">
        <v>4408</v>
      </c>
      <c r="AB28" s="213">
        <v>476.1</v>
      </c>
      <c r="AC28" s="213">
        <v>20000</v>
      </c>
      <c r="AD28" s="208">
        <f t="shared" si="8"/>
        <v>9642.6759084225996</v>
      </c>
      <c r="AE28" s="213">
        <f t="shared" si="2"/>
        <v>1.0370565281848048E-4</v>
      </c>
      <c r="AF28" s="99"/>
    </row>
    <row r="29" spans="1:32">
      <c r="A29" s="99" t="s">
        <v>4694</v>
      </c>
      <c r="B29" s="95">
        <v>4120000</v>
      </c>
      <c r="C29" s="95">
        <v>4230000</v>
      </c>
      <c r="D29" s="95">
        <v>11650</v>
      </c>
      <c r="E29" s="95">
        <v>11750</v>
      </c>
      <c r="J29" s="213">
        <v>28</v>
      </c>
      <c r="K29" s="213" t="s">
        <v>3684</v>
      </c>
      <c r="L29" s="113">
        <v>4590878</v>
      </c>
      <c r="M29" s="213">
        <v>2</v>
      </c>
      <c r="N29" s="113">
        <f t="shared" si="7"/>
        <v>9181756</v>
      </c>
      <c r="O29" s="99" t="s">
        <v>751</v>
      </c>
      <c r="W29" s="213" t="s">
        <v>4727</v>
      </c>
      <c r="X29" s="213" t="s">
        <v>1086</v>
      </c>
      <c r="Y29" s="113">
        <v>4590878</v>
      </c>
      <c r="Z29" s="213">
        <f t="shared" si="9"/>
        <v>2.3602445980921298</v>
      </c>
      <c r="AA29" s="197" t="s">
        <v>4389</v>
      </c>
      <c r="AB29" s="213">
        <v>3095</v>
      </c>
      <c r="AC29" s="213">
        <v>3501</v>
      </c>
      <c r="AD29" s="197">
        <f t="shared" si="8"/>
        <v>1483.3208400646204</v>
      </c>
      <c r="AE29" s="213">
        <f t="shared" si="2"/>
        <v>6.7416298146019129E-4</v>
      </c>
      <c r="AF29" s="99"/>
    </row>
    <row r="30" spans="1:32">
      <c r="A30" s="99" t="s">
        <v>4695</v>
      </c>
      <c r="B30" s="95">
        <v>4170000</v>
      </c>
      <c r="C30" s="95">
        <v>4280000</v>
      </c>
      <c r="D30" s="95">
        <v>11750</v>
      </c>
      <c r="E30" s="95">
        <v>11900</v>
      </c>
      <c r="J30" s="213">
        <v>29</v>
      </c>
      <c r="K30" s="213" t="s">
        <v>3684</v>
      </c>
      <c r="L30" s="113">
        <v>4590878</v>
      </c>
      <c r="M30" s="213">
        <v>2</v>
      </c>
      <c r="N30" s="113">
        <f t="shared" si="7"/>
        <v>9181756</v>
      </c>
      <c r="O30" s="99" t="s">
        <v>452</v>
      </c>
      <c r="R30" t="s">
        <v>25</v>
      </c>
      <c r="W30" s="213" t="s">
        <v>4727</v>
      </c>
      <c r="X30" s="213" t="s">
        <v>1086</v>
      </c>
      <c r="Y30" s="113">
        <v>4590878</v>
      </c>
      <c r="Z30" s="213">
        <f t="shared" si="9"/>
        <v>0.33907971416360883</v>
      </c>
      <c r="AA30" s="225" t="s">
        <v>4242</v>
      </c>
      <c r="AB30" s="117">
        <v>168.8</v>
      </c>
      <c r="AC30" s="19">
        <v>9222</v>
      </c>
      <c r="AD30" s="225">
        <f t="shared" si="8"/>
        <v>27197.14454976303</v>
      </c>
      <c r="AE30" s="213">
        <f t="shared" si="2"/>
        <v>3.6768565838604295E-5</v>
      </c>
      <c r="AF30" s="99"/>
    </row>
    <row r="31" spans="1:32">
      <c r="A31" s="99" t="s">
        <v>4701</v>
      </c>
      <c r="B31" s="95">
        <v>4130000</v>
      </c>
      <c r="C31" s="95">
        <v>4260000</v>
      </c>
      <c r="D31" s="95">
        <v>11850</v>
      </c>
      <c r="E31" s="95">
        <v>11950</v>
      </c>
      <c r="J31" s="213">
        <v>30</v>
      </c>
      <c r="K31" s="213" t="s">
        <v>4727</v>
      </c>
      <c r="L31" s="113">
        <v>4724483</v>
      </c>
      <c r="M31" s="213">
        <v>2.5</v>
      </c>
      <c r="N31" s="113">
        <f t="shared" si="7"/>
        <v>11811207.5</v>
      </c>
      <c r="O31" s="99" t="s">
        <v>751</v>
      </c>
      <c r="W31" s="213" t="s">
        <v>4727</v>
      </c>
      <c r="X31" s="213" t="s">
        <v>1086</v>
      </c>
      <c r="Y31" s="113">
        <v>4590878</v>
      </c>
      <c r="Z31" s="213">
        <f t="shared" si="9"/>
        <v>1.0887767002303264</v>
      </c>
      <c r="AA31" s="13" t="s">
        <v>4535</v>
      </c>
      <c r="AB31" s="117">
        <v>3859.8</v>
      </c>
      <c r="AC31" s="19">
        <v>1295</v>
      </c>
      <c r="AD31" s="13">
        <f t="shared" si="8"/>
        <v>1189.4082594953106</v>
      </c>
      <c r="AE31" s="213">
        <f t="shared" si="2"/>
        <v>8.4075420867206669E-4</v>
      </c>
      <c r="AF31" s="99"/>
    </row>
    <row r="32" spans="1:32">
      <c r="A32" s="99" t="s">
        <v>4703</v>
      </c>
      <c r="B32" s="95">
        <v>4100000</v>
      </c>
      <c r="C32" s="95">
        <v>4220000</v>
      </c>
      <c r="D32" s="95">
        <v>11800</v>
      </c>
      <c r="E32" s="95">
        <v>11980</v>
      </c>
      <c r="J32" s="213">
        <v>31</v>
      </c>
      <c r="K32" s="213" t="s">
        <v>4727</v>
      </c>
      <c r="L32" s="113">
        <v>4724483</v>
      </c>
      <c r="M32" s="213">
        <v>2.5</v>
      </c>
      <c r="N32" s="113">
        <f t="shared" si="7"/>
        <v>11811207.5</v>
      </c>
      <c r="O32" s="99" t="s">
        <v>452</v>
      </c>
      <c r="W32" s="213" t="s">
        <v>4731</v>
      </c>
      <c r="X32" s="213" t="s">
        <v>1086</v>
      </c>
      <c r="Y32" s="113">
        <v>4445103</v>
      </c>
      <c r="Z32" s="213">
        <f t="shared" si="9"/>
        <v>1.0998433557107676</v>
      </c>
      <c r="AA32" s="191" t="s">
        <v>4389</v>
      </c>
      <c r="AB32" s="117">
        <v>3069</v>
      </c>
      <c r="AC32" s="213">
        <v>1593</v>
      </c>
      <c r="AD32" s="191">
        <f t="shared" si="8"/>
        <v>1448.3880742913002</v>
      </c>
      <c r="AE32" s="213">
        <f t="shared" si="2"/>
        <v>6.9042269661692874E-4</v>
      </c>
      <c r="AF32" s="99" t="s">
        <v>4732</v>
      </c>
    </row>
    <row r="33" spans="1:32">
      <c r="A33" s="99" t="s">
        <v>4704</v>
      </c>
      <c r="B33" s="95">
        <v>4220000</v>
      </c>
      <c r="C33" s="95">
        <v>4320000</v>
      </c>
      <c r="D33" s="95">
        <v>11900</v>
      </c>
      <c r="E33" s="95">
        <v>12050</v>
      </c>
      <c r="J33" s="213">
        <v>32</v>
      </c>
      <c r="K33" s="213" t="s">
        <v>4743</v>
      </c>
      <c r="L33" s="113">
        <v>4852712</v>
      </c>
      <c r="M33" s="213">
        <v>8.5</v>
      </c>
      <c r="N33" s="113">
        <f t="shared" si="7"/>
        <v>41248052</v>
      </c>
      <c r="O33" s="99" t="s">
        <v>751</v>
      </c>
      <c r="W33" s="213" t="s">
        <v>4731</v>
      </c>
      <c r="X33" s="213" t="s">
        <v>1086</v>
      </c>
      <c r="Y33" s="113">
        <v>4724483</v>
      </c>
      <c r="Z33" s="213">
        <f t="shared" si="9"/>
        <v>2.1503257816781223</v>
      </c>
      <c r="AA33" s="192" t="s">
        <v>4389</v>
      </c>
      <c r="AB33" s="117">
        <v>3099.2</v>
      </c>
      <c r="AC33" s="213">
        <v>3278</v>
      </c>
      <c r="AD33" s="192">
        <f t="shared" si="8"/>
        <v>1524.4201729478575</v>
      </c>
      <c r="AE33" s="213">
        <f t="shared" si="2"/>
        <v>6.5598712070717572E-4</v>
      </c>
      <c r="AF33" s="99"/>
    </row>
    <row r="34" spans="1:32">
      <c r="A34" s="99" t="s">
        <v>4705</v>
      </c>
      <c r="B34" s="95">
        <v>4240000</v>
      </c>
      <c r="C34" s="95">
        <v>4340000</v>
      </c>
      <c r="D34" s="95">
        <v>12100</v>
      </c>
      <c r="E34" s="95">
        <v>12250</v>
      </c>
      <c r="I34" t="s">
        <v>25</v>
      </c>
      <c r="J34" s="213">
        <v>33</v>
      </c>
      <c r="K34" s="213" t="s">
        <v>4743</v>
      </c>
      <c r="L34" s="113">
        <v>4852712</v>
      </c>
      <c r="M34" s="213">
        <v>8.5</v>
      </c>
      <c r="N34" s="113">
        <f t="shared" si="7"/>
        <v>41248052</v>
      </c>
      <c r="O34" s="99" t="s">
        <v>452</v>
      </c>
      <c r="W34" s="213" t="s">
        <v>4731</v>
      </c>
      <c r="X34" s="213" t="s">
        <v>1086</v>
      </c>
      <c r="Y34" s="113">
        <v>4724483</v>
      </c>
      <c r="Z34" s="213">
        <f t="shared" si="9"/>
        <v>2.8236157480088302</v>
      </c>
      <c r="AA34" s="5" t="s">
        <v>4535</v>
      </c>
      <c r="AB34" s="117">
        <v>3853.3</v>
      </c>
      <c r="AC34" s="213">
        <v>3462</v>
      </c>
      <c r="AD34" s="5">
        <f t="shared" si="8"/>
        <v>1226.0875094075207</v>
      </c>
      <c r="AE34" s="213">
        <f t="shared" si="2"/>
        <v>8.1560246909556037E-4</v>
      </c>
      <c r="AF34" s="99"/>
    </row>
    <row r="35" spans="1:32">
      <c r="A35" s="99" t="s">
        <v>4714</v>
      </c>
      <c r="B35" s="95">
        <v>4230000</v>
      </c>
      <c r="C35" s="95">
        <v>4370000</v>
      </c>
      <c r="D35" s="95">
        <v>12100</v>
      </c>
      <c r="E35" s="95">
        <v>12250</v>
      </c>
      <c r="J35" s="213">
        <v>34</v>
      </c>
      <c r="K35" s="213" t="s">
        <v>4745</v>
      </c>
      <c r="L35" s="113">
        <v>4977171</v>
      </c>
      <c r="M35" s="213">
        <v>7.5</v>
      </c>
      <c r="N35" s="113">
        <f t="shared" si="7"/>
        <v>37328782.5</v>
      </c>
      <c r="O35" s="99" t="s">
        <v>751</v>
      </c>
      <c r="W35" s="213" t="s">
        <v>4745</v>
      </c>
      <c r="X35" s="213" t="s">
        <v>1086</v>
      </c>
      <c r="Y35" s="113">
        <v>4852712</v>
      </c>
      <c r="Z35" s="213">
        <f t="shared" si="9"/>
        <v>0.69267922761540357</v>
      </c>
      <c r="AA35" s="197" t="s">
        <v>4389</v>
      </c>
      <c r="AB35" s="117">
        <v>3324.8</v>
      </c>
      <c r="AC35" s="213">
        <v>1011</v>
      </c>
      <c r="AD35" s="197">
        <f t="shared" si="8"/>
        <v>1459.5500481231952</v>
      </c>
      <c r="AE35" s="213">
        <f t="shared" si="2"/>
        <v>6.8514265837329731E-4</v>
      </c>
      <c r="AF35" s="99"/>
    </row>
    <row r="36" spans="1:32">
      <c r="A36" s="99" t="s">
        <v>3684</v>
      </c>
      <c r="B36" s="95">
        <v>4300000</v>
      </c>
      <c r="C36" s="95">
        <v>4420000</v>
      </c>
      <c r="D36" s="95">
        <v>12300</v>
      </c>
      <c r="E36" s="95">
        <v>12400</v>
      </c>
      <c r="J36" s="213">
        <v>35</v>
      </c>
      <c r="K36" s="213" t="s">
        <v>4745</v>
      </c>
      <c r="L36" s="113">
        <v>4977171</v>
      </c>
      <c r="M36" s="213">
        <v>7.5</v>
      </c>
      <c r="N36" s="113">
        <f t="shared" si="7"/>
        <v>37328782.5</v>
      </c>
      <c r="O36" s="99" t="s">
        <v>452</v>
      </c>
      <c r="R36" s="96"/>
      <c r="W36" s="213" t="s">
        <v>4745</v>
      </c>
      <c r="X36" s="213" t="s">
        <v>1086</v>
      </c>
      <c r="Y36" s="113">
        <v>4852712</v>
      </c>
      <c r="Z36" s="213">
        <f t="shared" si="9"/>
        <v>13.047731721973198</v>
      </c>
      <c r="AA36" s="13" t="s">
        <v>4535</v>
      </c>
      <c r="AB36" s="117">
        <v>4176.3</v>
      </c>
      <c r="AC36" s="213">
        <v>15161</v>
      </c>
      <c r="AD36" s="13">
        <f t="shared" si="8"/>
        <v>1161.9644182649713</v>
      </c>
      <c r="AE36" s="213">
        <f t="shared" si="2"/>
        <v>8.6061155081941813E-4</v>
      </c>
      <c r="AF36" s="99"/>
    </row>
    <row r="37" spans="1:32">
      <c r="A37" s="99" t="s">
        <v>4727</v>
      </c>
      <c r="B37" s="95">
        <v>4370000</v>
      </c>
      <c r="C37" s="95">
        <v>4480000</v>
      </c>
      <c r="D37" s="95">
        <v>12600</v>
      </c>
      <c r="E37" s="95">
        <v>12700</v>
      </c>
      <c r="J37" s="213">
        <v>36</v>
      </c>
      <c r="K37" s="213" t="s">
        <v>4885</v>
      </c>
      <c r="L37" s="113">
        <v>5048479</v>
      </c>
      <c r="M37" s="213">
        <v>4</v>
      </c>
      <c r="N37" s="113">
        <f t="shared" si="7"/>
        <v>20193916</v>
      </c>
      <c r="O37" s="99" t="s">
        <v>751</v>
      </c>
      <c r="W37" s="213" t="s">
        <v>4745</v>
      </c>
      <c r="X37" s="213" t="s">
        <v>1086</v>
      </c>
      <c r="Y37" s="113">
        <v>4852712</v>
      </c>
      <c r="Z37" s="213">
        <f t="shared" si="9"/>
        <v>3.1790291490613911</v>
      </c>
      <c r="AA37" s="222" t="s">
        <v>4408</v>
      </c>
      <c r="AB37" s="117">
        <v>525.1</v>
      </c>
      <c r="AC37" s="213">
        <v>29379</v>
      </c>
      <c r="AD37" s="222">
        <f t="shared" si="8"/>
        <v>9241.5006665397068</v>
      </c>
      <c r="AE37" s="213">
        <f t="shared" si="2"/>
        <v>1.0820753426125433E-4</v>
      </c>
      <c r="AF37" s="99"/>
    </row>
    <row r="38" spans="1:32">
      <c r="A38" s="99" t="s">
        <v>4731</v>
      </c>
      <c r="B38" s="95">
        <v>4470000</v>
      </c>
      <c r="C38" s="95">
        <v>4580000</v>
      </c>
      <c r="D38" s="95">
        <v>13050</v>
      </c>
      <c r="E38" s="95">
        <v>13200</v>
      </c>
      <c r="J38" s="213">
        <v>37</v>
      </c>
      <c r="K38" s="213" t="s">
        <v>4885</v>
      </c>
      <c r="L38" s="113">
        <v>5048479</v>
      </c>
      <c r="M38" s="213">
        <v>9</v>
      </c>
      <c r="N38" s="113">
        <f t="shared" si="7"/>
        <v>45436311</v>
      </c>
      <c r="O38" s="99" t="s">
        <v>452</v>
      </c>
      <c r="W38" s="213" t="s">
        <v>4753</v>
      </c>
      <c r="X38" s="213" t="s">
        <v>1086</v>
      </c>
      <c r="Y38" s="113">
        <v>4977171</v>
      </c>
      <c r="Z38" s="213">
        <f t="shared" si="9"/>
        <v>6.1346965173589574</v>
      </c>
      <c r="AA38" s="222" t="s">
        <v>4408</v>
      </c>
      <c r="AB38" s="117">
        <v>529.79999999999995</v>
      </c>
      <c r="AC38" s="213">
        <v>57632</v>
      </c>
      <c r="AD38" s="222">
        <f t="shared" si="8"/>
        <v>9394.4337485843716</v>
      </c>
      <c r="AE38" s="213">
        <f t="shared" si="2"/>
        <v>1.0644601119792749E-4</v>
      </c>
      <c r="AF38" s="99"/>
    </row>
    <row r="39" spans="1:32">
      <c r="A39" s="99" t="s">
        <v>4737</v>
      </c>
      <c r="B39" s="95">
        <v>4600000</v>
      </c>
      <c r="C39" s="95">
        <v>4720000</v>
      </c>
      <c r="D39" s="95"/>
      <c r="E39" s="95"/>
      <c r="J39" s="213"/>
      <c r="K39" s="213"/>
      <c r="L39" s="113"/>
      <c r="M39" s="213"/>
      <c r="N39" s="113"/>
      <c r="O39" s="99"/>
      <c r="W39" s="213" t="s">
        <v>4753</v>
      </c>
      <c r="X39" s="213" t="s">
        <v>1086</v>
      </c>
      <c r="Y39" s="113">
        <v>4977171</v>
      </c>
      <c r="Z39" s="213">
        <f t="shared" si="9"/>
        <v>1.084129920390519</v>
      </c>
      <c r="AA39" s="227" t="s">
        <v>4393</v>
      </c>
      <c r="AB39" s="117">
        <v>5395.9</v>
      </c>
      <c r="AC39" s="213">
        <v>1000</v>
      </c>
      <c r="AD39" s="227">
        <f t="shared" si="8"/>
        <v>922.39867306658766</v>
      </c>
      <c r="AE39" s="213">
        <f t="shared" si="2"/>
        <v>1.0841299203905189E-3</v>
      </c>
      <c r="AF39" s="99"/>
    </row>
    <row r="40" spans="1:32">
      <c r="A40" s="99" t="s">
        <v>4743</v>
      </c>
      <c r="B40" s="95">
        <v>4530000</v>
      </c>
      <c r="C40" s="95">
        <v>4680000</v>
      </c>
      <c r="D40" s="95">
        <v>13000</v>
      </c>
      <c r="E40" s="95">
        <v>13150</v>
      </c>
      <c r="J40" s="168"/>
      <c r="K40" s="168"/>
      <c r="L40" s="113" t="s">
        <v>25</v>
      </c>
      <c r="M40" s="168"/>
      <c r="N40" s="113"/>
      <c r="O40" s="99"/>
      <c r="W40" s="213" t="s">
        <v>4753</v>
      </c>
      <c r="X40" s="213" t="s">
        <v>1086</v>
      </c>
      <c r="Y40" s="113">
        <v>4977171</v>
      </c>
      <c r="Z40" s="213">
        <f t="shared" si="9"/>
        <v>7.7072195831728516</v>
      </c>
      <c r="AA40" s="222" t="s">
        <v>4389</v>
      </c>
      <c r="AB40" s="117">
        <v>3355.8</v>
      </c>
      <c r="AC40" s="213">
        <v>11431</v>
      </c>
      <c r="AD40" s="222">
        <f t="shared" si="8"/>
        <v>1483.1548364026462</v>
      </c>
      <c r="AE40" s="213">
        <f t="shared" si="2"/>
        <v>6.7423843785957929E-4</v>
      </c>
      <c r="AF40" s="99"/>
    </row>
    <row r="41" spans="1:32">
      <c r="A41" s="99" t="s">
        <v>4745</v>
      </c>
      <c r="B41" s="95">
        <v>4750000</v>
      </c>
      <c r="C41" s="95">
        <v>4900000</v>
      </c>
      <c r="D41" s="95">
        <v>13750</v>
      </c>
      <c r="E41" s="95">
        <v>13900</v>
      </c>
      <c r="J41" s="168"/>
      <c r="K41" s="168"/>
      <c r="L41" s="168"/>
      <c r="M41" s="168">
        <f>SUM(M2:M40)</f>
        <v>140</v>
      </c>
      <c r="N41" s="113">
        <f>SUM(N2:N40)</f>
        <v>618472600</v>
      </c>
      <c r="O41" s="169">
        <f>N41/(M41-3)</f>
        <v>4514398.5401459858</v>
      </c>
      <c r="W41" s="230" t="s">
        <v>4769</v>
      </c>
      <c r="X41" s="230" t="s">
        <v>4408</v>
      </c>
      <c r="Y41" s="228">
        <v>530.29999999999995</v>
      </c>
      <c r="Z41" s="230">
        <f t="shared" si="9"/>
        <v>24481.99132566472</v>
      </c>
      <c r="AA41" s="230" t="s">
        <v>4393</v>
      </c>
      <c r="AB41" s="230">
        <v>5235</v>
      </c>
      <c r="AC41" s="230">
        <v>2480</v>
      </c>
      <c r="AD41" s="230">
        <f t="shared" si="8"/>
        <v>0.10129894937917859</v>
      </c>
      <c r="AE41" s="230">
        <f t="shared" si="2"/>
        <v>9.8717706958325486</v>
      </c>
      <c r="AF41" s="161"/>
    </row>
    <row r="42" spans="1:32">
      <c r="A42" s="99" t="s">
        <v>4753</v>
      </c>
      <c r="B42" s="95">
        <v>4700000</v>
      </c>
      <c r="C42" s="95">
        <v>4850000</v>
      </c>
      <c r="D42" s="95">
        <v>13650</v>
      </c>
      <c r="E42" s="95">
        <v>13800</v>
      </c>
      <c r="J42" s="168"/>
      <c r="K42" s="168"/>
      <c r="L42" s="168"/>
      <c r="M42" s="168" t="s">
        <v>6</v>
      </c>
      <c r="N42" s="168"/>
      <c r="O42" s="99"/>
      <c r="P42">
        <f>O44/2</f>
        <v>37328780.5</v>
      </c>
      <c r="Q42">
        <f>O44/15</f>
        <v>4977170.7333333334</v>
      </c>
      <c r="W42" s="213" t="s">
        <v>4782</v>
      </c>
      <c r="X42" s="213" t="s">
        <v>4242</v>
      </c>
      <c r="Y42" s="113">
        <v>185.7</v>
      </c>
      <c r="Z42" s="213">
        <f t="shared" si="9"/>
        <v>9238.0484652665582</v>
      </c>
      <c r="AA42" s="213" t="s">
        <v>4295</v>
      </c>
      <c r="AB42" s="117">
        <v>303.2</v>
      </c>
      <c r="AC42" s="213">
        <v>5658</v>
      </c>
      <c r="AD42" s="213">
        <f t="shared" si="8"/>
        <v>0.61246701846965701</v>
      </c>
      <c r="AE42" s="213">
        <f t="shared" si="2"/>
        <v>1.6327409800753905</v>
      </c>
      <c r="AF42" s="99"/>
    </row>
    <row r="43" spans="1:32">
      <c r="A43" s="99" t="s">
        <v>4761</v>
      </c>
      <c r="B43" s="95">
        <v>4550000</v>
      </c>
      <c r="C43" s="95">
        <v>4750000</v>
      </c>
      <c r="D43" s="95">
        <v>13400</v>
      </c>
      <c r="E43" s="95">
        <v>13500</v>
      </c>
      <c r="M43" s="113">
        <f>N41/(M41-3)</f>
        <v>4514398.5401459858</v>
      </c>
      <c r="S43" t="s">
        <v>25</v>
      </c>
      <c r="W43" s="231" t="s">
        <v>4787</v>
      </c>
      <c r="X43" s="231" t="s">
        <v>4408</v>
      </c>
      <c r="Y43" s="232">
        <v>538.79999999999995</v>
      </c>
      <c r="Z43" s="231">
        <f t="shared" si="9"/>
        <v>4989.5322939866373</v>
      </c>
      <c r="AA43" s="231" t="s">
        <v>4393</v>
      </c>
      <c r="AB43" s="232">
        <v>5160</v>
      </c>
      <c r="AC43" s="231">
        <v>521</v>
      </c>
      <c r="AD43" s="231">
        <f>Y43/AB43</f>
        <v>0.10441860465116279</v>
      </c>
      <c r="AE43" s="231">
        <f t="shared" si="2"/>
        <v>9.5768374164810695</v>
      </c>
      <c r="AF43" s="233"/>
    </row>
    <row r="44" spans="1:32">
      <c r="A44" s="99" t="s">
        <v>4769</v>
      </c>
      <c r="B44" s="95">
        <v>4580000</v>
      </c>
      <c r="C44" s="95">
        <v>4750000</v>
      </c>
      <c r="D44" s="95">
        <v>13350</v>
      </c>
      <c r="E44" s="95">
        <v>13500</v>
      </c>
      <c r="I44" s="41"/>
      <c r="M44" s="41" t="s">
        <v>4522</v>
      </c>
      <c r="N44" t="s">
        <v>25</v>
      </c>
      <c r="O44" s="223">
        <v>74657561</v>
      </c>
      <c r="R44" t="s">
        <v>25</v>
      </c>
      <c r="W44" s="213" t="s">
        <v>4797</v>
      </c>
      <c r="X44" s="213" t="s">
        <v>4295</v>
      </c>
      <c r="Y44" s="113">
        <v>299.10000000000002</v>
      </c>
      <c r="Z44" s="213">
        <v>5658</v>
      </c>
      <c r="AA44" s="213" t="s">
        <v>4242</v>
      </c>
      <c r="AB44" s="213">
        <v>182.5</v>
      </c>
      <c r="AC44" s="213">
        <v>9173</v>
      </c>
      <c r="AD44" s="213">
        <f>Y44/AB44</f>
        <v>1.6389041095890413</v>
      </c>
      <c r="AE44" s="213">
        <f t="shared" si="2"/>
        <v>0.61016382480775655</v>
      </c>
      <c r="AF44" s="99" t="s">
        <v>4799</v>
      </c>
    </row>
    <row r="45" spans="1:32">
      <c r="A45" s="99" t="s">
        <v>4777</v>
      </c>
      <c r="B45" s="95">
        <v>4500000</v>
      </c>
      <c r="C45" s="95">
        <v>4650000</v>
      </c>
      <c r="D45" s="95">
        <v>13250</v>
      </c>
      <c r="E45" s="95">
        <v>13450</v>
      </c>
      <c r="W45" s="213" t="s">
        <v>4797</v>
      </c>
      <c r="X45" s="213" t="s">
        <v>4393</v>
      </c>
      <c r="Y45" s="113">
        <v>5149.1000000000004</v>
      </c>
      <c r="Z45" s="213">
        <v>290</v>
      </c>
      <c r="AA45" s="213" t="s">
        <v>4535</v>
      </c>
      <c r="AB45" s="213">
        <v>3933</v>
      </c>
      <c r="AC45" s="213">
        <v>375</v>
      </c>
      <c r="AD45" s="213">
        <f>Y45/AB45</f>
        <v>1.3092041698449022</v>
      </c>
      <c r="AE45" s="213">
        <f t="shared" ref="AE45" si="10">AB45/Y45</f>
        <v>0.76382280398516245</v>
      </c>
      <c r="AF45" s="99" t="s">
        <v>25</v>
      </c>
    </row>
    <row r="46" spans="1:32">
      <c r="A46" s="99" t="s">
        <v>4782</v>
      </c>
      <c r="B46" s="95">
        <v>4620000</v>
      </c>
      <c r="C46" s="95">
        <v>4770000</v>
      </c>
      <c r="D46" s="95">
        <v>13600</v>
      </c>
      <c r="E46" s="95">
        <v>13700</v>
      </c>
      <c r="W46" s="213" t="s">
        <v>4823</v>
      </c>
      <c r="X46" s="213" t="s">
        <v>4393</v>
      </c>
      <c r="Y46" s="113">
        <v>5399.3</v>
      </c>
      <c r="Z46" s="213">
        <v>2000</v>
      </c>
      <c r="AA46" s="213" t="s">
        <v>4535</v>
      </c>
      <c r="AB46" s="213">
        <v>4049.8</v>
      </c>
      <c r="AC46" s="213">
        <v>2638</v>
      </c>
      <c r="AD46" s="213">
        <f>Y46/AB46</f>
        <v>1.3332263321645512</v>
      </c>
      <c r="AE46" s="213">
        <f t="shared" ref="AE46:AE47" si="11">AB46/Y46</f>
        <v>0.75006019298797988</v>
      </c>
      <c r="AF46" s="99"/>
    </row>
    <row r="47" spans="1:32">
      <c r="A47" s="99" t="s">
        <v>4786</v>
      </c>
      <c r="B47" s="95">
        <v>4400000</v>
      </c>
      <c r="C47" s="95">
        <v>4600000</v>
      </c>
      <c r="D47" s="95">
        <v>13200</v>
      </c>
      <c r="E47" s="95">
        <v>13400</v>
      </c>
      <c r="L47">
        <f>140-M41</f>
        <v>0</v>
      </c>
      <c r="M47">
        <f>70-M2-M4-M5-M7-M9-M10-M12-M14-M16-M18-M20-M22-M25-M27-M29-M31-M33-M35-M37</f>
        <v>0</v>
      </c>
      <c r="N47" t="s">
        <v>483</v>
      </c>
      <c r="W47" s="213" t="s">
        <v>4981</v>
      </c>
      <c r="X47" s="213" t="s">
        <v>4295</v>
      </c>
      <c r="Y47" s="113">
        <v>362.9</v>
      </c>
      <c r="Z47" s="213">
        <v>1822</v>
      </c>
      <c r="AA47" s="213" t="s">
        <v>4242</v>
      </c>
      <c r="AB47" s="213">
        <v>191.5</v>
      </c>
      <c r="AC47" s="213">
        <v>3409</v>
      </c>
      <c r="AD47" s="213">
        <f>Y47/AB47</f>
        <v>1.8950391644908615</v>
      </c>
      <c r="AE47" s="213">
        <f t="shared" si="11"/>
        <v>0.5276935794984845</v>
      </c>
      <c r="AF47" s="99"/>
    </row>
    <row r="48" spans="1:32">
      <c r="A48" s="99" t="s">
        <v>4787</v>
      </c>
      <c r="B48" s="95">
        <v>4250000</v>
      </c>
      <c r="C48" s="95">
        <v>4450000</v>
      </c>
      <c r="D48" s="95">
        <v>12750</v>
      </c>
      <c r="E48" s="95">
        <v>12900</v>
      </c>
      <c r="M48">
        <f>65-M3-M6-M8-M11-M13-M15-M17-M19-M21-M23-M26-M28-M30-M32-M34-M36-M38</f>
        <v>0</v>
      </c>
      <c r="N48" t="s">
        <v>5</v>
      </c>
      <c r="W48" s="213" t="s">
        <v>4981</v>
      </c>
      <c r="X48" s="213" t="s">
        <v>4295</v>
      </c>
      <c r="Y48" s="113">
        <v>361.4</v>
      </c>
      <c r="Z48" s="213">
        <v>5174</v>
      </c>
      <c r="AA48" s="213" t="s">
        <v>4389</v>
      </c>
      <c r="AB48" s="213">
        <v>3698</v>
      </c>
      <c r="AC48" s="213">
        <v>498</v>
      </c>
      <c r="AD48" s="213">
        <f t="shared" ref="AD48:AD62" si="12">Y48/AB48</f>
        <v>9.7728501892915084E-2</v>
      </c>
      <c r="AE48" s="213">
        <f t="shared" ref="AE48:AE62" si="13">AB48/Y48</f>
        <v>10.232429441062536</v>
      </c>
      <c r="AF48" s="99"/>
    </row>
    <row r="49" spans="1:32">
      <c r="A49" s="99" t="s">
        <v>4797</v>
      </c>
      <c r="B49" s="95">
        <v>4380000</v>
      </c>
      <c r="C49" s="95">
        <v>4520000</v>
      </c>
      <c r="D49" s="95">
        <v>12750</v>
      </c>
      <c r="E49" s="95">
        <v>12900</v>
      </c>
      <c r="K49">
        <v>16</v>
      </c>
      <c r="L49" s="223">
        <v>807756734</v>
      </c>
      <c r="M49">
        <f>L49/16</f>
        <v>50484795.875</v>
      </c>
      <c r="N49">
        <f>M49*4</f>
        <v>201939183.5</v>
      </c>
      <c r="W49" s="213" t="s">
        <v>4981</v>
      </c>
      <c r="X49" s="213" t="s">
        <v>4535</v>
      </c>
      <c r="Y49" s="113">
        <v>4909.6000000000004</v>
      </c>
      <c r="Z49" s="213">
        <v>2000</v>
      </c>
      <c r="AA49" s="213" t="s">
        <v>4389</v>
      </c>
      <c r="AB49" s="213">
        <v>3715.1</v>
      </c>
      <c r="AC49" s="213">
        <v>2603</v>
      </c>
      <c r="AD49" s="213">
        <f>Y49/AB49</f>
        <v>1.321525665527173</v>
      </c>
      <c r="AE49" s="213">
        <f t="shared" si="13"/>
        <v>0.75670115691706041</v>
      </c>
      <c r="AF49" s="99"/>
    </row>
    <row r="50" spans="1:32">
      <c r="A50" s="99" t="s">
        <v>4801</v>
      </c>
      <c r="B50" s="95">
        <v>4500000</v>
      </c>
      <c r="C50" s="95">
        <v>4630000</v>
      </c>
      <c r="D50" s="95">
        <v>13200</v>
      </c>
      <c r="E50" s="95">
        <v>13400</v>
      </c>
      <c r="N50">
        <f>M49*9</f>
        <v>454363162.875</v>
      </c>
      <c r="W50" s="213" t="s">
        <v>4981</v>
      </c>
      <c r="X50" s="213" t="s">
        <v>4535</v>
      </c>
      <c r="Y50" s="113">
        <v>4949.8</v>
      </c>
      <c r="Z50" s="213">
        <v>64</v>
      </c>
      <c r="AA50" s="213" t="s">
        <v>4389</v>
      </c>
      <c r="AB50" s="213">
        <v>3720.1</v>
      </c>
      <c r="AC50" s="213">
        <v>84</v>
      </c>
      <c r="AD50" s="213">
        <f t="shared" si="12"/>
        <v>1.3305556302249941</v>
      </c>
      <c r="AE50" s="213">
        <f t="shared" si="13"/>
        <v>0.75156571982706366</v>
      </c>
      <c r="AF50" s="99"/>
    </row>
    <row r="51" spans="1:32">
      <c r="A51" s="99" t="s">
        <v>974</v>
      </c>
      <c r="B51" s="95">
        <v>4480000</v>
      </c>
      <c r="C51" s="95">
        <v>4620000</v>
      </c>
      <c r="D51" s="95">
        <v>13100</v>
      </c>
      <c r="E51" s="95">
        <v>13250</v>
      </c>
      <c r="W51" s="213" t="s">
        <v>4981</v>
      </c>
      <c r="X51" s="213" t="s">
        <v>4535</v>
      </c>
      <c r="Y51" s="113">
        <v>4949</v>
      </c>
      <c r="Z51" s="213">
        <v>1000</v>
      </c>
      <c r="AA51" s="213" t="s">
        <v>4242</v>
      </c>
      <c r="AB51" s="213">
        <v>192</v>
      </c>
      <c r="AC51" s="213" t="s">
        <v>4985</v>
      </c>
      <c r="AD51" s="213">
        <f t="shared" si="12"/>
        <v>25.776041666666668</v>
      </c>
      <c r="AE51" s="213">
        <f t="shared" si="13"/>
        <v>3.8795716306324508E-2</v>
      </c>
      <c r="AF51" s="99"/>
    </row>
    <row r="52" spans="1:32">
      <c r="A52" s="99" t="s">
        <v>4823</v>
      </c>
      <c r="B52" s="95">
        <v>4480000</v>
      </c>
      <c r="C52" s="95">
        <v>4600000</v>
      </c>
      <c r="D52" s="95">
        <v>13050</v>
      </c>
      <c r="E52" s="95">
        <v>13200</v>
      </c>
      <c r="K52" s="168" t="s">
        <v>4531</v>
      </c>
      <c r="L52" s="168" t="s">
        <v>1086</v>
      </c>
      <c r="M52" s="168" t="s">
        <v>4242</v>
      </c>
      <c r="N52" s="168" t="s">
        <v>4548</v>
      </c>
      <c r="O52" s="168"/>
      <c r="W52" s="213" t="s">
        <v>4988</v>
      </c>
      <c r="X52" s="213" t="s">
        <v>4535</v>
      </c>
      <c r="Y52" s="113">
        <v>4957.7</v>
      </c>
      <c r="Z52" s="213" t="s">
        <v>4985</v>
      </c>
      <c r="AA52" s="213" t="s">
        <v>4389</v>
      </c>
      <c r="AB52" s="213">
        <v>3589.3</v>
      </c>
      <c r="AC52" s="213" t="s">
        <v>4985</v>
      </c>
      <c r="AD52" s="213">
        <f t="shared" si="12"/>
        <v>1.3812442537542138</v>
      </c>
      <c r="AE52" s="213">
        <f t="shared" si="13"/>
        <v>0.72398491235855345</v>
      </c>
      <c r="AF52" s="99"/>
    </row>
    <row r="53" spans="1:32">
      <c r="A53" s="99" t="s">
        <v>4825</v>
      </c>
      <c r="B53" s="95">
        <v>4400000</v>
      </c>
      <c r="C53" s="95">
        <v>4550000</v>
      </c>
      <c r="D53" s="95">
        <v>12850</v>
      </c>
      <c r="E53" s="95">
        <v>13000</v>
      </c>
      <c r="K53" s="168" t="s">
        <v>4521</v>
      </c>
      <c r="L53" s="168">
        <v>3390000</v>
      </c>
      <c r="M53" s="168">
        <v>161.4</v>
      </c>
      <c r="N53" s="168">
        <f>L53/M53</f>
        <v>21003.717472118959</v>
      </c>
      <c r="O53" s="168"/>
      <c r="W53" s="213" t="s">
        <v>4988</v>
      </c>
      <c r="X53" s="213" t="s">
        <v>4535</v>
      </c>
      <c r="Y53" s="113">
        <v>4958</v>
      </c>
      <c r="Z53" s="213" t="s">
        <v>4985</v>
      </c>
      <c r="AA53" s="213" t="s">
        <v>4393</v>
      </c>
      <c r="AB53" s="213">
        <v>4730.8999999999996</v>
      </c>
      <c r="AC53" s="213" t="s">
        <v>4985</v>
      </c>
      <c r="AD53" s="213">
        <f t="shared" si="12"/>
        <v>1.0480035511213512</v>
      </c>
      <c r="AE53" s="213">
        <f t="shared" si="13"/>
        <v>0.95419524001613543</v>
      </c>
      <c r="AF53" s="99"/>
    </row>
    <row r="54" spans="1:32">
      <c r="A54" s="99" t="s">
        <v>4827</v>
      </c>
      <c r="B54" s="95">
        <v>4400000</v>
      </c>
      <c r="C54" s="95">
        <v>4520000</v>
      </c>
      <c r="D54" s="95">
        <v>12800</v>
      </c>
      <c r="E54" s="95">
        <v>12950</v>
      </c>
      <c r="K54" s="168"/>
      <c r="L54" s="168"/>
      <c r="M54" s="168"/>
      <c r="N54" s="168"/>
      <c r="O54" s="168"/>
      <c r="W54" s="213" t="s">
        <v>4988</v>
      </c>
      <c r="X54" s="213" t="s">
        <v>4535</v>
      </c>
      <c r="Y54" s="113">
        <v>4958</v>
      </c>
      <c r="Z54" s="213" t="s">
        <v>4985</v>
      </c>
      <c r="AA54" s="213" t="s">
        <v>4408</v>
      </c>
      <c r="AB54" s="213">
        <v>671.9</v>
      </c>
      <c r="AC54" s="213" t="s">
        <v>4985</v>
      </c>
      <c r="AD54" s="213">
        <f t="shared" si="12"/>
        <v>7.379074267004019</v>
      </c>
      <c r="AE54" s="213">
        <f t="shared" si="13"/>
        <v>0.13551835417507058</v>
      </c>
      <c r="AF54" s="99"/>
    </row>
    <row r="55" spans="1:32">
      <c r="A55" s="99" t="s">
        <v>4834</v>
      </c>
      <c r="B55" s="95">
        <v>4460000</v>
      </c>
      <c r="C55" s="95">
        <v>4580000</v>
      </c>
      <c r="D55" s="95">
        <v>12850</v>
      </c>
      <c r="E55" s="95">
        <v>13000</v>
      </c>
      <c r="K55" s="168"/>
      <c r="L55" s="168"/>
      <c r="M55" s="168"/>
      <c r="N55" s="168"/>
      <c r="O55" s="168"/>
      <c r="W55" s="213" t="s">
        <v>4988</v>
      </c>
      <c r="X55" s="213" t="s">
        <v>4535</v>
      </c>
      <c r="Y55" s="113">
        <v>4958</v>
      </c>
      <c r="Z55" s="213" t="s">
        <v>4985</v>
      </c>
      <c r="AA55" s="213" t="s">
        <v>4242</v>
      </c>
      <c r="AB55" s="213">
        <v>194.4</v>
      </c>
      <c r="AC55" s="213" t="s">
        <v>4985</v>
      </c>
      <c r="AD55" s="213">
        <f t="shared" si="12"/>
        <v>25.504115226337447</v>
      </c>
      <c r="AE55" s="213">
        <f t="shared" si="13"/>
        <v>3.9209358612343689E-2</v>
      </c>
      <c r="AF55" s="99"/>
    </row>
    <row r="56" spans="1:32">
      <c r="A56" s="99" t="s">
        <v>4841</v>
      </c>
      <c r="B56" s="95">
        <v>4500000</v>
      </c>
      <c r="C56" s="95">
        <v>4620000</v>
      </c>
      <c r="D56" s="95">
        <v>13000</v>
      </c>
      <c r="E56" s="95">
        <v>13200</v>
      </c>
      <c r="K56" s="168"/>
      <c r="L56" s="168"/>
      <c r="M56" s="168"/>
      <c r="N56" s="168"/>
      <c r="O56" s="168"/>
      <c r="W56" s="213" t="s">
        <v>5082</v>
      </c>
      <c r="X56" s="213" t="s">
        <v>4393</v>
      </c>
      <c r="Y56" s="113">
        <v>5077.8</v>
      </c>
      <c r="Z56" s="213">
        <v>5000</v>
      </c>
      <c r="AA56" s="213" t="s">
        <v>4242</v>
      </c>
      <c r="AB56" s="213">
        <v>211.3</v>
      </c>
      <c r="AC56" s="213">
        <v>118433</v>
      </c>
      <c r="AD56" s="213">
        <f t="shared" si="12"/>
        <v>24.031235210601039</v>
      </c>
      <c r="AE56" s="213">
        <f t="shared" si="13"/>
        <v>4.161250935444484E-2</v>
      </c>
      <c r="AF56" s="99"/>
    </row>
    <row r="57" spans="1:32">
      <c r="A57" s="99" t="s">
        <v>4846</v>
      </c>
      <c r="B57" s="95">
        <v>4450000</v>
      </c>
      <c r="C57" s="95">
        <v>4600000</v>
      </c>
      <c r="D57" s="95">
        <v>12850</v>
      </c>
      <c r="E57" s="95">
        <v>13050</v>
      </c>
      <c r="K57" s="168"/>
      <c r="L57" s="168"/>
      <c r="M57" s="168"/>
      <c r="N57" s="168"/>
      <c r="O57" s="168"/>
      <c r="W57" s="213" t="s">
        <v>5087</v>
      </c>
      <c r="X57" s="213" t="s">
        <v>4393</v>
      </c>
      <c r="Y57" s="113">
        <v>5039.5</v>
      </c>
      <c r="Z57" s="213">
        <v>100</v>
      </c>
      <c r="AA57" s="213" t="s">
        <v>4242</v>
      </c>
      <c r="AB57" s="213">
        <v>209.6</v>
      </c>
      <c r="AC57" s="213">
        <v>2379</v>
      </c>
      <c r="AD57" s="213">
        <f>Y57/AB57</f>
        <v>24.043416030534353</v>
      </c>
      <c r="AE57" s="213">
        <f t="shared" si="13"/>
        <v>4.1591427721004069E-2</v>
      </c>
      <c r="AF57" s="99"/>
    </row>
    <row r="58" spans="1:32">
      <c r="A58" s="99" t="s">
        <v>4855</v>
      </c>
      <c r="B58" s="95">
        <v>4500000</v>
      </c>
      <c r="C58" s="95">
        <v>4650000</v>
      </c>
      <c r="D58" s="95">
        <v>12900</v>
      </c>
      <c r="E58" s="95">
        <v>13100</v>
      </c>
      <c r="K58" s="168"/>
      <c r="L58" s="168"/>
      <c r="M58" s="168"/>
      <c r="N58" s="168"/>
      <c r="O58" s="168"/>
      <c r="W58" s="213" t="s">
        <v>5095</v>
      </c>
      <c r="X58" s="213" t="s">
        <v>4393</v>
      </c>
      <c r="Y58" s="113">
        <v>4979.8999999999996</v>
      </c>
      <c r="Z58" s="213">
        <v>100</v>
      </c>
      <c r="AA58" s="213" t="s">
        <v>4242</v>
      </c>
      <c r="AB58" s="213">
        <v>205.1</v>
      </c>
      <c r="AC58" s="213">
        <v>2393</v>
      </c>
      <c r="AD58" s="213">
        <f t="shared" si="12"/>
        <v>24.280351048269136</v>
      </c>
      <c r="AE58" s="213">
        <f t="shared" si="13"/>
        <v>4.1185565975220391E-2</v>
      </c>
      <c r="AF58" s="99"/>
    </row>
    <row r="59" spans="1:32">
      <c r="A59" s="99" t="s">
        <v>4885</v>
      </c>
      <c r="B59" s="95">
        <v>4700000</v>
      </c>
      <c r="C59" s="95">
        <v>4800000</v>
      </c>
      <c r="D59" s="95">
        <v>13300</v>
      </c>
      <c r="E59" s="95">
        <v>13450</v>
      </c>
      <c r="K59" s="168"/>
      <c r="L59" s="168"/>
      <c r="M59" s="168"/>
      <c r="N59" s="168"/>
      <c r="O59" s="168"/>
      <c r="W59" s="213" t="s">
        <v>5140</v>
      </c>
      <c r="X59" s="213" t="s">
        <v>4393</v>
      </c>
      <c r="Y59" s="113">
        <v>5300</v>
      </c>
      <c r="Z59" s="213">
        <v>10520</v>
      </c>
      <c r="AA59" s="213" t="s">
        <v>4408</v>
      </c>
      <c r="AB59" s="213">
        <v>709</v>
      </c>
      <c r="AC59" s="213">
        <v>77508</v>
      </c>
      <c r="AD59" s="213">
        <f>Y59/AB59</f>
        <v>7.4753173483779971</v>
      </c>
      <c r="AE59" s="213">
        <f t="shared" si="13"/>
        <v>0.13377358490566038</v>
      </c>
      <c r="AF59" s="99"/>
    </row>
    <row r="60" spans="1:32">
      <c r="A60" s="99" t="s">
        <v>4886</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4895</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4914</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5019</v>
      </c>
      <c r="B63" s="95">
        <v>4700000</v>
      </c>
      <c r="C63" s="95">
        <v>4830000</v>
      </c>
      <c r="D63" s="95">
        <v>13850</v>
      </c>
      <c r="E63" s="95">
        <v>14050</v>
      </c>
      <c r="I63" s="213" t="s">
        <v>8</v>
      </c>
      <c r="J63" s="213" t="s">
        <v>4756</v>
      </c>
      <c r="K63" s="213" t="s">
        <v>180</v>
      </c>
      <c r="L63" s="226" t="s">
        <v>4754</v>
      </c>
      <c r="M63" s="226" t="s">
        <v>4755</v>
      </c>
      <c r="N63" s="213" t="s">
        <v>6</v>
      </c>
      <c r="O63" s="213" t="s">
        <v>4757</v>
      </c>
      <c r="P63" s="213" t="s">
        <v>4771</v>
      </c>
      <c r="W63" s="168"/>
      <c r="X63" s="168"/>
      <c r="Y63" s="113"/>
      <c r="Z63" s="168"/>
      <c r="AA63" s="168"/>
      <c r="AB63" s="113"/>
      <c r="AC63" s="168"/>
      <c r="AD63" s="19"/>
      <c r="AE63" s="168"/>
      <c r="AF63" s="99"/>
    </row>
    <row r="64" spans="1:32">
      <c r="A64" s="99" t="s">
        <v>5079</v>
      </c>
      <c r="B64" s="95">
        <v>4600000</v>
      </c>
      <c r="C64" s="95">
        <v>4700000</v>
      </c>
      <c r="D64" s="95">
        <v>13300</v>
      </c>
      <c r="E64" s="95">
        <v>13500</v>
      </c>
      <c r="G64" t="s">
        <v>25</v>
      </c>
      <c r="I64" s="213"/>
      <c r="J64" s="213"/>
      <c r="K64" s="213" t="s">
        <v>4704</v>
      </c>
      <c r="L64" s="84">
        <v>535989412</v>
      </c>
      <c r="M64" s="84"/>
      <c r="N64" s="213"/>
      <c r="O64" s="213"/>
      <c r="P64" s="213"/>
      <c r="Q64" s="84">
        <v>0</v>
      </c>
      <c r="Z64" t="s">
        <v>25</v>
      </c>
      <c r="AC64" t="s">
        <v>25</v>
      </c>
    </row>
    <row r="65" spans="1:32">
      <c r="A65" s="99"/>
      <c r="B65" s="95"/>
      <c r="C65" s="95"/>
      <c r="D65" s="95"/>
      <c r="E65" s="95"/>
      <c r="I65" s="213"/>
      <c r="J65" s="113">
        <f>L65-L64</f>
        <v>12939932</v>
      </c>
      <c r="K65" s="213" t="s">
        <v>4731</v>
      </c>
      <c r="L65" s="84">
        <v>548929344</v>
      </c>
      <c r="M65" s="84"/>
      <c r="N65" s="213"/>
      <c r="O65" s="213"/>
      <c r="P65" s="213"/>
      <c r="Q65" s="84">
        <v>0</v>
      </c>
      <c r="Z65" t="s">
        <v>25</v>
      </c>
      <c r="AA65" t="s">
        <v>25</v>
      </c>
      <c r="AB65" t="s">
        <v>25</v>
      </c>
      <c r="AD65" t="s">
        <v>25</v>
      </c>
    </row>
    <row r="66" spans="1:32">
      <c r="A66" s="99"/>
      <c r="B66" s="95"/>
      <c r="C66" s="95"/>
      <c r="D66" s="95"/>
      <c r="E66" s="95"/>
      <c r="F66" t="s">
        <v>25</v>
      </c>
      <c r="I66" s="213"/>
      <c r="J66" s="113">
        <f t="shared" ref="J66:J88" si="14">L66-L65</f>
        <v>11531981</v>
      </c>
      <c r="K66" s="213" t="s">
        <v>4737</v>
      </c>
      <c r="L66" s="84">
        <v>560461325</v>
      </c>
      <c r="M66" s="84"/>
      <c r="N66" s="213"/>
      <c r="O66" s="213"/>
      <c r="P66" s="213"/>
      <c r="Q66" s="84">
        <v>0</v>
      </c>
      <c r="X66">
        <v>24.280838620000001</v>
      </c>
      <c r="Z66" s="96"/>
      <c r="AA66" s="96"/>
      <c r="AB66" s="96"/>
      <c r="AC66" s="96"/>
      <c r="AD66" s="96"/>
      <c r="AF66" t="s">
        <v>25</v>
      </c>
    </row>
    <row r="67" spans="1:32">
      <c r="A67" s="99"/>
      <c r="B67" s="95"/>
      <c r="C67" s="95"/>
      <c r="D67" s="95"/>
      <c r="E67" s="95"/>
      <c r="I67" s="213"/>
      <c r="J67" s="113">
        <f t="shared" si="14"/>
        <v>17387769</v>
      </c>
      <c r="K67" s="213" t="s">
        <v>4743</v>
      </c>
      <c r="L67" s="84">
        <v>577849094</v>
      </c>
      <c r="M67" s="84"/>
      <c r="N67" s="213"/>
      <c r="O67" s="213"/>
      <c r="P67" s="213"/>
      <c r="Q67" s="84">
        <v>0</v>
      </c>
      <c r="Z67" s="96"/>
      <c r="AA67" s="96"/>
      <c r="AB67" s="96"/>
      <c r="AC67" s="96" t="s">
        <v>25</v>
      </c>
      <c r="AD67" s="96"/>
    </row>
    <row r="68" spans="1:32">
      <c r="A68" s="99"/>
      <c r="B68" s="95"/>
      <c r="C68" s="95"/>
      <c r="D68" s="95"/>
      <c r="E68" s="95"/>
      <c r="I68" s="213"/>
      <c r="J68" s="113">
        <f t="shared" si="14"/>
        <v>11024486</v>
      </c>
      <c r="K68" s="213" t="s">
        <v>4745</v>
      </c>
      <c r="L68" s="84">
        <v>588873580</v>
      </c>
      <c r="M68" s="84">
        <v>250255923</v>
      </c>
      <c r="N68" s="113">
        <f>L68+M68</f>
        <v>839129503</v>
      </c>
      <c r="O68" s="113">
        <f>M68-M67</f>
        <v>250255923</v>
      </c>
      <c r="P68" s="113">
        <f>N68-N67</f>
        <v>839129503</v>
      </c>
      <c r="Q68" s="84">
        <v>0</v>
      </c>
      <c r="X68" t="s">
        <v>180</v>
      </c>
      <c r="Y68" t="s">
        <v>937</v>
      </c>
      <c r="Z68" t="s">
        <v>4393</v>
      </c>
      <c r="AA68" t="s">
        <v>4242</v>
      </c>
      <c r="AB68" t="s">
        <v>4548</v>
      </c>
      <c r="AC68" s="96" t="s">
        <v>5091</v>
      </c>
      <c r="AD68" s="96" t="s">
        <v>5096</v>
      </c>
    </row>
    <row r="69" spans="1:32">
      <c r="A69" s="99"/>
      <c r="B69" s="95"/>
      <c r="C69" s="95"/>
      <c r="D69" s="95"/>
      <c r="E69" s="95"/>
      <c r="I69" s="213"/>
      <c r="J69" s="113">
        <f t="shared" si="14"/>
        <v>-8942851</v>
      </c>
      <c r="K69" s="213" t="s">
        <v>4753</v>
      </c>
      <c r="L69" s="229">
        <v>579930729</v>
      </c>
      <c r="M69" s="84">
        <v>247714729</v>
      </c>
      <c r="N69" s="113">
        <f t="shared" ref="N69:N91" si="15">L69+M69</f>
        <v>827645458</v>
      </c>
      <c r="O69" s="113">
        <f t="shared" ref="O69:O88" si="16">M69-M68</f>
        <v>-2541194</v>
      </c>
      <c r="P69" s="113">
        <f t="shared" ref="P69:P88" si="17">N69-N68</f>
        <v>-11484045</v>
      </c>
      <c r="Q69" s="84">
        <v>0</v>
      </c>
      <c r="X69" t="s">
        <v>5082</v>
      </c>
      <c r="Y69">
        <v>5000</v>
      </c>
      <c r="Z69">
        <v>5077.8</v>
      </c>
      <c r="AA69">
        <v>211.3</v>
      </c>
      <c r="AB69" s="262">
        <f>Z69/AA69</f>
        <v>24.031235210601039</v>
      </c>
      <c r="AC69" s="96">
        <f>AB69/$X$66</f>
        <v>0.98972014874340608</v>
      </c>
      <c r="AD69" s="96">
        <f>AB69/1.03</f>
        <v>23.331296320971884</v>
      </c>
    </row>
    <row r="70" spans="1:32">
      <c r="A70" s="99"/>
      <c r="B70" s="95"/>
      <c r="C70" s="95"/>
      <c r="D70" s="95"/>
      <c r="E70" s="95"/>
      <c r="I70" s="5" t="s">
        <v>4768</v>
      </c>
      <c r="J70" s="35">
        <f t="shared" si="14"/>
        <v>45893629</v>
      </c>
      <c r="K70" s="5" t="s">
        <v>4761</v>
      </c>
      <c r="L70" s="236">
        <v>625824358</v>
      </c>
      <c r="M70" s="236">
        <v>243028777</v>
      </c>
      <c r="N70" s="35">
        <f t="shared" si="15"/>
        <v>868853135</v>
      </c>
      <c r="O70" s="35">
        <f t="shared" si="16"/>
        <v>-4685952</v>
      </c>
      <c r="P70" s="35">
        <f>N70-N69-50000000</f>
        <v>-8792323</v>
      </c>
      <c r="Q70" s="84">
        <v>50000000</v>
      </c>
      <c r="W70" s="96"/>
      <c r="X70" t="s">
        <v>5087</v>
      </c>
      <c r="Y70">
        <v>100</v>
      </c>
      <c r="Z70">
        <v>5039.5</v>
      </c>
      <c r="AA70">
        <v>209.6</v>
      </c>
      <c r="AB70" s="262">
        <f>Z70/AA70</f>
        <v>24.043416030534353</v>
      </c>
      <c r="AC70" s="96">
        <f t="shared" ref="AC70:AC72" si="18">AB70/$X$66</f>
        <v>0.99022181263253051</v>
      </c>
      <c r="AD70" s="96">
        <f t="shared" ref="AD70:AD72" si="19">AB70/1.03</f>
        <v>23.34312235974209</v>
      </c>
    </row>
    <row r="71" spans="1:32">
      <c r="A71" s="99"/>
      <c r="B71" s="95"/>
      <c r="C71" s="95"/>
      <c r="D71" s="95"/>
      <c r="E71" s="95"/>
      <c r="I71" s="213"/>
      <c r="J71" s="113">
        <f t="shared" si="14"/>
        <v>3462014</v>
      </c>
      <c r="K71" s="213" t="s">
        <v>4769</v>
      </c>
      <c r="L71" s="84">
        <v>629286372</v>
      </c>
      <c r="M71" s="84">
        <v>246690884</v>
      </c>
      <c r="N71" s="113">
        <f t="shared" si="15"/>
        <v>875977256</v>
      </c>
      <c r="O71" s="113">
        <f t="shared" si="16"/>
        <v>3662107</v>
      </c>
      <c r="P71" s="113">
        <f t="shared" si="17"/>
        <v>7124121</v>
      </c>
      <c r="Q71" s="84">
        <v>0</v>
      </c>
      <c r="W71" s="96"/>
      <c r="X71" t="s">
        <v>5095</v>
      </c>
      <c r="Y71">
        <v>100</v>
      </c>
      <c r="Z71">
        <v>4980</v>
      </c>
      <c r="AA71">
        <v>205.1</v>
      </c>
      <c r="AB71" s="9">
        <f>Z71/AA71</f>
        <v>24.280838615309605</v>
      </c>
      <c r="AC71" s="96">
        <f t="shared" si="18"/>
        <v>0.9999999998068273</v>
      </c>
      <c r="AD71" s="96">
        <f t="shared" si="19"/>
        <v>23.57362972360156</v>
      </c>
    </row>
    <row r="72" spans="1:32">
      <c r="A72" s="99"/>
      <c r="B72" s="95"/>
      <c r="C72" s="95"/>
      <c r="D72" s="95"/>
      <c r="E72" s="95"/>
      <c r="I72" s="213"/>
      <c r="J72" s="113">
        <f t="shared" si="14"/>
        <v>-2687296</v>
      </c>
      <c r="K72" s="213" t="s">
        <v>4782</v>
      </c>
      <c r="L72" s="84">
        <v>626599076</v>
      </c>
      <c r="M72" s="84">
        <v>244530128</v>
      </c>
      <c r="N72" s="113">
        <f t="shared" si="15"/>
        <v>871129204</v>
      </c>
      <c r="O72" s="113">
        <f t="shared" si="16"/>
        <v>-2160756</v>
      </c>
      <c r="P72" s="113">
        <f t="shared" si="17"/>
        <v>-4848052</v>
      </c>
      <c r="Q72" s="84">
        <v>0</v>
      </c>
      <c r="X72" t="s">
        <v>5099</v>
      </c>
      <c r="Y72">
        <v>9712</v>
      </c>
      <c r="Z72">
        <v>4936.3999999999996</v>
      </c>
      <c r="AA72">
        <v>203.6</v>
      </c>
      <c r="AB72" s="96">
        <f>Z72/AA72</f>
        <v>24.245579567779959</v>
      </c>
      <c r="AC72" s="96">
        <f t="shared" si="18"/>
        <v>0.99854786513876836</v>
      </c>
      <c r="AD72" s="96">
        <f t="shared" si="19"/>
        <v>23.53939763862132</v>
      </c>
    </row>
    <row r="73" spans="1:32">
      <c r="A73" s="99"/>
      <c r="B73" s="95"/>
      <c r="C73" s="95"/>
      <c r="D73" s="95"/>
      <c r="E73" s="95"/>
      <c r="I73" s="213"/>
      <c r="J73" s="113">
        <f t="shared" si="14"/>
        <v>-6009466</v>
      </c>
      <c r="K73" s="213" t="s">
        <v>4786</v>
      </c>
      <c r="L73" s="84">
        <v>620589610</v>
      </c>
      <c r="M73" s="84">
        <v>242967684</v>
      </c>
      <c r="N73" s="113">
        <f t="shared" si="15"/>
        <v>863557294</v>
      </c>
      <c r="O73" s="113">
        <f t="shared" si="16"/>
        <v>-1562444</v>
      </c>
      <c r="P73" s="113">
        <f t="shared" si="17"/>
        <v>-7571910</v>
      </c>
      <c r="Q73" s="84">
        <v>0</v>
      </c>
      <c r="X73" s="96"/>
      <c r="Y73" s="96"/>
      <c r="Z73" s="96">
        <v>5330</v>
      </c>
      <c r="AA73" s="96">
        <v>226.8</v>
      </c>
      <c r="AB73" s="96">
        <f>Z73/AA73</f>
        <v>23.500881834215168</v>
      </c>
      <c r="AC73" s="96">
        <f>AB73/$X$66</f>
        <v>0.96787768338683378</v>
      </c>
      <c r="AD73" s="96">
        <f>AB73/1.03</f>
        <v>22.816390130305987</v>
      </c>
    </row>
    <row r="74" spans="1:32">
      <c r="A74" s="99"/>
      <c r="B74" s="95"/>
      <c r="C74" s="95"/>
      <c r="D74" s="95"/>
      <c r="E74" s="95"/>
      <c r="I74" s="213"/>
      <c r="J74" s="113">
        <f t="shared" si="14"/>
        <v>-1273071</v>
      </c>
      <c r="K74" s="213" t="s">
        <v>4787</v>
      </c>
      <c r="L74" s="84">
        <v>619316539</v>
      </c>
      <c r="M74" s="84">
        <v>242985726</v>
      </c>
      <c r="N74" s="113">
        <f t="shared" si="15"/>
        <v>862302265</v>
      </c>
      <c r="O74" s="113">
        <f t="shared" si="16"/>
        <v>18042</v>
      </c>
      <c r="P74" s="113">
        <f t="shared" si="17"/>
        <v>-1255029</v>
      </c>
      <c r="Q74" s="84">
        <v>0</v>
      </c>
      <c r="X74" s="96"/>
      <c r="Y74" s="96"/>
      <c r="Z74" s="96"/>
      <c r="AA74" s="96"/>
      <c r="AB74" s="96"/>
      <c r="AC74" s="96"/>
      <c r="AD74" s="96"/>
    </row>
    <row r="75" spans="1:32">
      <c r="I75" s="213"/>
      <c r="J75" s="113">
        <f t="shared" si="14"/>
        <v>112274</v>
      </c>
      <c r="K75" s="213" t="s">
        <v>4797</v>
      </c>
      <c r="L75" s="84">
        <v>619428813</v>
      </c>
      <c r="M75" s="84">
        <v>242060147</v>
      </c>
      <c r="N75" s="113">
        <f t="shared" si="15"/>
        <v>861488960</v>
      </c>
      <c r="O75" s="113">
        <f t="shared" si="16"/>
        <v>-925579</v>
      </c>
      <c r="P75" s="113">
        <f t="shared" si="17"/>
        <v>-813305</v>
      </c>
      <c r="Q75" s="84">
        <v>0</v>
      </c>
      <c r="X75" s="96"/>
      <c r="Y75" s="96"/>
      <c r="Z75" s="96"/>
      <c r="AA75" s="96"/>
      <c r="AB75" s="96"/>
      <c r="AC75" s="96" t="s">
        <v>25</v>
      </c>
      <c r="AD75" s="96"/>
    </row>
    <row r="76" spans="1:32">
      <c r="I76" s="213"/>
      <c r="J76" s="113">
        <f t="shared" si="14"/>
        <v>6567221</v>
      </c>
      <c r="K76" s="213" t="s">
        <v>4801</v>
      </c>
      <c r="L76" s="84">
        <v>625996034</v>
      </c>
      <c r="M76" s="84">
        <v>242597875</v>
      </c>
      <c r="N76" s="113">
        <f t="shared" si="15"/>
        <v>868593909</v>
      </c>
      <c r="O76" s="113">
        <f t="shared" si="16"/>
        <v>537728</v>
      </c>
      <c r="P76" s="113">
        <f t="shared" si="17"/>
        <v>7104949</v>
      </c>
      <c r="Q76" s="84">
        <v>0</v>
      </c>
      <c r="W76" s="96"/>
      <c r="X76" s="96"/>
      <c r="Y76" s="96"/>
      <c r="Z76" s="96"/>
      <c r="AA76" s="96"/>
      <c r="AB76" s="96"/>
      <c r="AC76" s="96"/>
      <c r="AD76" s="96" t="s">
        <v>25</v>
      </c>
    </row>
    <row r="77" spans="1:32">
      <c r="D77" s="114">
        <f>B64-B28+L19</f>
        <v>4911628</v>
      </c>
      <c r="I77" s="213"/>
      <c r="J77" s="113">
        <f t="shared" si="14"/>
        <v>4477051</v>
      </c>
      <c r="K77" s="213" t="s">
        <v>974</v>
      </c>
      <c r="L77" s="84">
        <v>630473085</v>
      </c>
      <c r="M77" s="84">
        <v>243884962</v>
      </c>
      <c r="N77" s="113">
        <f t="shared" si="15"/>
        <v>874358047</v>
      </c>
      <c r="O77" s="113">
        <f t="shared" si="16"/>
        <v>1287087</v>
      </c>
      <c r="P77" s="113">
        <f t="shared" si="17"/>
        <v>5764138</v>
      </c>
      <c r="Q77" s="84">
        <v>0</v>
      </c>
      <c r="W77" s="96"/>
      <c r="X77" s="96"/>
      <c r="Y77" s="96"/>
      <c r="Z77" s="96"/>
      <c r="AA77" s="96"/>
      <c r="AB77" s="96"/>
      <c r="AC77" s="96"/>
      <c r="AD77" s="96"/>
    </row>
    <row r="78" spans="1:32">
      <c r="B78" t="s">
        <v>25</v>
      </c>
      <c r="F78" t="s">
        <v>25</v>
      </c>
      <c r="I78" s="213"/>
      <c r="J78" s="113">
        <f t="shared" si="14"/>
        <v>6046556</v>
      </c>
      <c r="K78" s="213" t="s">
        <v>4823</v>
      </c>
      <c r="L78" s="84">
        <v>636519641</v>
      </c>
      <c r="M78" s="84">
        <v>248242879</v>
      </c>
      <c r="N78" s="113">
        <f t="shared" si="15"/>
        <v>884762520</v>
      </c>
      <c r="O78" s="113">
        <f t="shared" si="16"/>
        <v>4357917</v>
      </c>
      <c r="P78" s="113">
        <f t="shared" si="17"/>
        <v>10404473</v>
      </c>
      <c r="Q78" s="84">
        <v>0</v>
      </c>
      <c r="W78" s="96"/>
      <c r="X78" s="96"/>
      <c r="Y78" s="96"/>
      <c r="Z78" s="96"/>
      <c r="AA78" s="96"/>
      <c r="AB78" s="96"/>
      <c r="AC78" s="96"/>
      <c r="AD78" s="96"/>
    </row>
    <row r="79" spans="1:32">
      <c r="I79" s="213"/>
      <c r="J79" s="113">
        <f t="shared" si="14"/>
        <v>6885870</v>
      </c>
      <c r="K79" s="213" t="s">
        <v>4825</v>
      </c>
      <c r="L79" s="84">
        <v>643405511</v>
      </c>
      <c r="M79" s="84">
        <v>252682386</v>
      </c>
      <c r="N79" s="113">
        <f t="shared" si="15"/>
        <v>896087897</v>
      </c>
      <c r="O79" s="113">
        <f t="shared" si="16"/>
        <v>4439507</v>
      </c>
      <c r="P79" s="113">
        <f t="shared" si="17"/>
        <v>11325377</v>
      </c>
      <c r="Q79" s="84">
        <v>0</v>
      </c>
      <c r="W79" s="96"/>
      <c r="AA79" s="96"/>
      <c r="AB79" s="96"/>
      <c r="AC79" s="96"/>
      <c r="AD79" s="96" t="s">
        <v>25</v>
      </c>
    </row>
    <row r="80" spans="1:32">
      <c r="D80" t="s">
        <v>25</v>
      </c>
      <c r="E80" t="s">
        <v>25</v>
      </c>
      <c r="G80" t="s">
        <v>25</v>
      </c>
      <c r="I80" s="5" t="s">
        <v>4845</v>
      </c>
      <c r="J80" s="35">
        <f t="shared" si="14"/>
        <v>-1984018</v>
      </c>
      <c r="K80" s="5" t="s">
        <v>4827</v>
      </c>
      <c r="L80" s="236">
        <v>641421493</v>
      </c>
      <c r="M80" s="236">
        <v>250864833</v>
      </c>
      <c r="N80" s="35">
        <f t="shared" si="15"/>
        <v>892286326</v>
      </c>
      <c r="O80" s="35">
        <f t="shared" si="16"/>
        <v>-1817553</v>
      </c>
      <c r="P80" s="35">
        <f>N80-N79-2000000</f>
        <v>-5801571</v>
      </c>
      <c r="Q80" s="84">
        <v>2000000</v>
      </c>
      <c r="X80" s="96"/>
      <c r="Y80" s="96"/>
      <c r="Z80" s="96"/>
      <c r="AA80" s="96"/>
      <c r="AB80" s="96"/>
      <c r="AC80" s="96"/>
      <c r="AD80" s="96"/>
    </row>
    <row r="81" spans="6:30">
      <c r="I81" s="213"/>
      <c r="J81" s="113">
        <f t="shared" si="14"/>
        <v>6117877</v>
      </c>
      <c r="K81" s="213" t="s">
        <v>4834</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8" t="s">
        <v>4844</v>
      </c>
      <c r="J82" s="86">
        <f t="shared" si="14"/>
        <v>8860702</v>
      </c>
      <c r="K82" s="191" t="s">
        <v>4841</v>
      </c>
      <c r="L82" s="237">
        <v>656400072</v>
      </c>
      <c r="M82" s="237">
        <v>260846052</v>
      </c>
      <c r="N82" s="86">
        <f t="shared" si="15"/>
        <v>917246124</v>
      </c>
      <c r="O82" s="86">
        <f t="shared" si="16"/>
        <v>6154949</v>
      </c>
      <c r="P82" s="86">
        <f>N82-N81-4250000</f>
        <v>10765651</v>
      </c>
      <c r="Q82" s="84">
        <v>4250000</v>
      </c>
      <c r="AA82" s="96"/>
      <c r="AB82" s="96"/>
      <c r="AC82" s="96" t="s">
        <v>25</v>
      </c>
      <c r="AD82" s="96"/>
    </row>
    <row r="83" spans="6:30" ht="30">
      <c r="I83" s="238" t="s">
        <v>4853</v>
      </c>
      <c r="J83" s="86">
        <f>L83-L82+31412200</f>
        <v>20439704</v>
      </c>
      <c r="K83" s="191" t="s">
        <v>4846</v>
      </c>
      <c r="L83" s="237">
        <v>645427576</v>
      </c>
      <c r="M83" s="237">
        <v>263837297</v>
      </c>
      <c r="N83" s="86">
        <f t="shared" si="15"/>
        <v>909264873</v>
      </c>
      <c r="O83" s="86">
        <f>M83-M82+2060725</f>
        <v>5051970</v>
      </c>
      <c r="P83" s="86">
        <f>N83-N82+2060725+31412200</f>
        <v>25491674</v>
      </c>
      <c r="Q83" s="84">
        <v>-33472925</v>
      </c>
      <c r="AA83" s="96"/>
      <c r="AB83" s="96"/>
      <c r="AC83" s="96"/>
      <c r="AD83" s="96" t="s">
        <v>25</v>
      </c>
    </row>
    <row r="84" spans="6:30">
      <c r="F84" t="s">
        <v>25</v>
      </c>
      <c r="I84" s="189" t="s">
        <v>4854</v>
      </c>
      <c r="J84" s="188">
        <f t="shared" si="14"/>
        <v>21224293</v>
      </c>
      <c r="K84" s="189" t="s">
        <v>4855</v>
      </c>
      <c r="L84" s="239">
        <v>666651869</v>
      </c>
      <c r="M84" s="239">
        <v>303563891</v>
      </c>
      <c r="N84" s="188">
        <f t="shared" si="15"/>
        <v>970215760</v>
      </c>
      <c r="O84" s="188">
        <f>M84-M83-28000000</f>
        <v>11726594</v>
      </c>
      <c r="P84" s="188">
        <f>N84-N83-28000000</f>
        <v>32950887</v>
      </c>
      <c r="Q84" s="84">
        <v>28000000</v>
      </c>
      <c r="X84" s="96"/>
      <c r="Y84" s="96"/>
      <c r="Z84" s="96"/>
      <c r="AA84" s="96"/>
      <c r="AB84" s="96"/>
      <c r="AC84" s="96"/>
      <c r="AD84" s="96"/>
    </row>
    <row r="85" spans="6:30">
      <c r="I85" s="213"/>
      <c r="J85" s="113">
        <f t="shared" si="14"/>
        <v>9478107</v>
      </c>
      <c r="K85" s="213" t="s">
        <v>981</v>
      </c>
      <c r="L85" s="84">
        <v>676129976</v>
      </c>
      <c r="M85" s="84">
        <v>302822379</v>
      </c>
      <c r="N85" s="113">
        <f t="shared" si="15"/>
        <v>978952355</v>
      </c>
      <c r="O85" s="113">
        <f t="shared" si="16"/>
        <v>-741512</v>
      </c>
      <c r="P85" s="113">
        <f t="shared" si="17"/>
        <v>8736595</v>
      </c>
      <c r="Q85" s="84">
        <v>0</v>
      </c>
      <c r="X85" s="96"/>
      <c r="Y85" s="96"/>
      <c r="Z85" s="96" t="s">
        <v>4646</v>
      </c>
      <c r="AA85" s="96"/>
      <c r="AB85" s="96"/>
      <c r="AC85" s="96"/>
      <c r="AD85" s="96"/>
    </row>
    <row r="86" spans="6:30">
      <c r="I86" s="213"/>
      <c r="J86" s="113">
        <f t="shared" si="14"/>
        <v>-8249999</v>
      </c>
      <c r="K86" s="213" t="s">
        <v>4863</v>
      </c>
      <c r="L86" s="84">
        <v>667879977</v>
      </c>
      <c r="M86" s="84">
        <v>298414541</v>
      </c>
      <c r="N86" s="113">
        <f t="shared" si="15"/>
        <v>966294518</v>
      </c>
      <c r="O86" s="113">
        <f t="shared" si="16"/>
        <v>-4407838</v>
      </c>
      <c r="P86" s="113">
        <f t="shared" si="17"/>
        <v>-12657837</v>
      </c>
      <c r="Q86" s="84">
        <v>0</v>
      </c>
      <c r="X86" s="96"/>
      <c r="Y86" s="96"/>
      <c r="Z86" s="96" t="s">
        <v>4647</v>
      </c>
      <c r="AA86" s="207">
        <v>35441</v>
      </c>
      <c r="AB86" s="96"/>
      <c r="AC86" s="96"/>
      <c r="AD86" s="96"/>
    </row>
    <row r="87" spans="6:30" ht="90">
      <c r="I87" s="240" t="s">
        <v>4874</v>
      </c>
      <c r="J87" s="196">
        <f>L87-L86-20000</f>
        <v>7878257</v>
      </c>
      <c r="K87" s="190" t="s">
        <v>4864</v>
      </c>
      <c r="L87" s="241">
        <v>675778234</v>
      </c>
      <c r="M87" s="241">
        <v>302388050</v>
      </c>
      <c r="N87" s="196">
        <f>L87+M87</f>
        <v>978166284</v>
      </c>
      <c r="O87" s="196">
        <f>M87-M86-850000</f>
        <v>3123509</v>
      </c>
      <c r="P87" s="196">
        <f>N87-N86-870000</f>
        <v>11001766</v>
      </c>
      <c r="Q87" s="84">
        <v>870000</v>
      </c>
      <c r="X87" s="22" t="s">
        <v>4650</v>
      </c>
      <c r="Y87" s="22" t="s">
        <v>4649</v>
      </c>
      <c r="Z87" s="22" t="s">
        <v>4648</v>
      </c>
      <c r="AA87" s="22" t="s">
        <v>4651</v>
      </c>
    </row>
    <row r="88" spans="6:30">
      <c r="I88" s="213" t="s">
        <v>25</v>
      </c>
      <c r="J88" s="113">
        <f t="shared" si="14"/>
        <v>17031996</v>
      </c>
      <c r="K88" s="213" t="s">
        <v>4876</v>
      </c>
      <c r="L88" s="84">
        <v>692810230</v>
      </c>
      <c r="M88" s="84">
        <v>311823171</v>
      </c>
      <c r="N88" s="113">
        <f t="shared" si="15"/>
        <v>1004633401</v>
      </c>
      <c r="O88" s="113">
        <f t="shared" si="16"/>
        <v>9435121</v>
      </c>
      <c r="P88" s="113">
        <f t="shared" si="17"/>
        <v>26467117</v>
      </c>
      <c r="Q88" s="84">
        <v>0</v>
      </c>
    </row>
    <row r="89" spans="6:30">
      <c r="I89" s="213"/>
      <c r="J89" s="113">
        <f>L89-L88</f>
        <v>-12175091</v>
      </c>
      <c r="K89" s="213" t="s">
        <v>4877</v>
      </c>
      <c r="L89" s="84">
        <v>680635139</v>
      </c>
      <c r="M89" s="84">
        <v>313005875</v>
      </c>
      <c r="N89" s="113">
        <f t="shared" si="15"/>
        <v>993641014</v>
      </c>
      <c r="O89" s="113">
        <f>M89-M88</f>
        <v>1182704</v>
      </c>
      <c r="P89" s="113">
        <f>N89-N88</f>
        <v>-10992387</v>
      </c>
      <c r="Q89" s="84">
        <v>0</v>
      </c>
    </row>
    <row r="90" spans="6:30">
      <c r="I90" s="190" t="s">
        <v>4905</v>
      </c>
      <c r="J90" s="196">
        <f>L90-L89-1000000</f>
        <v>3840350</v>
      </c>
      <c r="K90" s="190" t="s">
        <v>4885</v>
      </c>
      <c r="L90" s="241">
        <v>685475489</v>
      </c>
      <c r="M90" s="241">
        <v>312030960</v>
      </c>
      <c r="N90" s="196">
        <f t="shared" si="15"/>
        <v>997506449</v>
      </c>
      <c r="O90" s="196">
        <f t="shared" ref="O90:O91" si="20">M90-M89</f>
        <v>-974915</v>
      </c>
      <c r="P90" s="196">
        <f>N90-N89-1000000</f>
        <v>2865435</v>
      </c>
      <c r="Q90" s="84">
        <v>1000000</v>
      </c>
    </row>
    <row r="91" spans="6:30">
      <c r="I91" s="213"/>
      <c r="J91" s="113">
        <f t="shared" ref="J91:J161" si="21">L91-L90</f>
        <v>-12127865</v>
      </c>
      <c r="K91" s="213" t="s">
        <v>4886</v>
      </c>
      <c r="L91" s="84">
        <v>673347624</v>
      </c>
      <c r="M91" s="84">
        <v>308820785</v>
      </c>
      <c r="N91" s="113">
        <f t="shared" si="15"/>
        <v>982168409</v>
      </c>
      <c r="O91" s="113">
        <f t="shared" si="20"/>
        <v>-3210175</v>
      </c>
      <c r="P91" s="113">
        <f t="shared" ref="P91" si="22">N91-N90</f>
        <v>-15338040</v>
      </c>
      <c r="Q91" s="84">
        <v>0</v>
      </c>
    </row>
    <row r="92" spans="6:30">
      <c r="I92" s="213"/>
      <c r="J92" s="113">
        <f t="shared" si="21"/>
        <v>11765514</v>
      </c>
      <c r="K92" s="213" t="s">
        <v>4895</v>
      </c>
      <c r="L92" s="84">
        <v>685113138</v>
      </c>
      <c r="M92" s="84">
        <v>311743933</v>
      </c>
      <c r="N92" s="113">
        <f t="shared" ref="N92:N97" si="23">L92+M92</f>
        <v>996857071</v>
      </c>
      <c r="O92" s="113">
        <f t="shared" ref="O92:O97" si="24">M92-M91</f>
        <v>2923148</v>
      </c>
      <c r="P92" s="113">
        <f t="shared" ref="P92:P97" si="25">N92-N91</f>
        <v>14688662</v>
      </c>
      <c r="Q92" s="84">
        <v>0</v>
      </c>
    </row>
    <row r="93" spans="6:30">
      <c r="I93" s="213"/>
      <c r="J93" s="113">
        <f t="shared" si="21"/>
        <v>2886862</v>
      </c>
      <c r="K93" s="213" t="s">
        <v>4897</v>
      </c>
      <c r="L93" s="84">
        <v>688000000</v>
      </c>
      <c r="M93" s="84">
        <v>312500000</v>
      </c>
      <c r="N93" s="113">
        <f t="shared" si="23"/>
        <v>1000500000</v>
      </c>
      <c r="O93" s="113">
        <f t="shared" si="24"/>
        <v>756067</v>
      </c>
      <c r="P93" s="113">
        <f t="shared" si="25"/>
        <v>3642929</v>
      </c>
      <c r="Q93" s="84">
        <v>0</v>
      </c>
    </row>
    <row r="94" spans="6:30">
      <c r="I94" s="213"/>
      <c r="J94" s="113">
        <f t="shared" si="21"/>
        <v>10450869</v>
      </c>
      <c r="K94" s="213" t="s">
        <v>4898</v>
      </c>
      <c r="L94" s="84">
        <v>698450869</v>
      </c>
      <c r="M94" s="84">
        <v>316326929</v>
      </c>
      <c r="N94" s="113">
        <f t="shared" si="23"/>
        <v>1014777798</v>
      </c>
      <c r="O94" s="113">
        <f t="shared" si="24"/>
        <v>3826929</v>
      </c>
      <c r="P94" s="113">
        <f t="shared" si="25"/>
        <v>14277798</v>
      </c>
      <c r="Q94" s="84">
        <v>0</v>
      </c>
    </row>
    <row r="95" spans="6:30">
      <c r="I95" s="190" t="s">
        <v>4904</v>
      </c>
      <c r="J95" s="196">
        <f>L95-L94-2520000</f>
        <v>-274657</v>
      </c>
      <c r="K95" s="190" t="s">
        <v>4901</v>
      </c>
      <c r="L95" s="241">
        <v>700696212</v>
      </c>
      <c r="M95" s="241">
        <v>314277518</v>
      </c>
      <c r="N95" s="196">
        <f t="shared" si="23"/>
        <v>1014973730</v>
      </c>
      <c r="O95" s="196">
        <f t="shared" si="24"/>
        <v>-2049411</v>
      </c>
      <c r="P95" s="196">
        <f>N95-N94-2520000</f>
        <v>-2324068</v>
      </c>
      <c r="Q95" s="84">
        <v>2520000</v>
      </c>
    </row>
    <row r="96" spans="6:30">
      <c r="I96" s="213"/>
      <c r="J96" s="113">
        <f t="shared" si="21"/>
        <v>3959605</v>
      </c>
      <c r="K96" s="213" t="s">
        <v>4906</v>
      </c>
      <c r="L96" s="84">
        <v>704655817</v>
      </c>
      <c r="M96" s="84">
        <v>315439070</v>
      </c>
      <c r="N96" s="113">
        <f t="shared" si="23"/>
        <v>1020094887</v>
      </c>
      <c r="O96" s="113">
        <f t="shared" si="24"/>
        <v>1161552</v>
      </c>
      <c r="P96" s="113">
        <f t="shared" si="25"/>
        <v>5121157</v>
      </c>
      <c r="Q96" s="84">
        <v>0</v>
      </c>
    </row>
    <row r="97" spans="9:20">
      <c r="I97" s="213"/>
      <c r="J97" s="113">
        <f t="shared" si="21"/>
        <v>4588822</v>
      </c>
      <c r="K97" s="213" t="s">
        <v>4909</v>
      </c>
      <c r="L97" s="84">
        <v>709244639</v>
      </c>
      <c r="M97" s="84">
        <v>318439707</v>
      </c>
      <c r="N97" s="113">
        <f t="shared" si="23"/>
        <v>1027684346</v>
      </c>
      <c r="O97" s="113">
        <f t="shared" si="24"/>
        <v>3000637</v>
      </c>
      <c r="P97" s="113">
        <f t="shared" si="25"/>
        <v>7589459</v>
      </c>
      <c r="Q97" s="84">
        <v>0</v>
      </c>
    </row>
    <row r="98" spans="9:20">
      <c r="I98" s="213"/>
      <c r="J98" s="113">
        <f t="shared" si="21"/>
        <v>-11230604</v>
      </c>
      <c r="K98" s="213" t="s">
        <v>4911</v>
      </c>
      <c r="L98" s="84">
        <v>698014035</v>
      </c>
      <c r="M98" s="84">
        <v>314823372</v>
      </c>
      <c r="N98" s="113">
        <f t="shared" ref="N98:N110" si="26">L98+M98</f>
        <v>1012837407</v>
      </c>
      <c r="O98" s="113">
        <f t="shared" ref="O98:O109" si="27">M98-M97</f>
        <v>-3616335</v>
      </c>
      <c r="P98" s="113">
        <f t="shared" ref="P98:P109" si="28">N98-N97</f>
        <v>-14846939</v>
      </c>
      <c r="Q98" s="84">
        <v>0</v>
      </c>
    </row>
    <row r="99" spans="9:20">
      <c r="I99" s="213"/>
      <c r="J99" s="113">
        <f t="shared" si="21"/>
        <v>6285999</v>
      </c>
      <c r="K99" s="213" t="s">
        <v>4912</v>
      </c>
      <c r="L99" s="84">
        <v>704300034</v>
      </c>
      <c r="M99" s="84">
        <v>315795916</v>
      </c>
      <c r="N99" s="113">
        <f t="shared" si="26"/>
        <v>1020095950</v>
      </c>
      <c r="O99" s="113">
        <f t="shared" si="27"/>
        <v>972544</v>
      </c>
      <c r="P99" s="113">
        <f t="shared" si="28"/>
        <v>7258543</v>
      </c>
      <c r="Q99" s="84">
        <v>0</v>
      </c>
    </row>
    <row r="100" spans="9:20">
      <c r="I100" s="213"/>
      <c r="J100" s="113">
        <f t="shared" si="21"/>
        <v>17278812</v>
      </c>
      <c r="K100" s="213" t="s">
        <v>4914</v>
      </c>
      <c r="L100" s="84">
        <v>721578846</v>
      </c>
      <c r="M100" s="84">
        <v>322263065</v>
      </c>
      <c r="N100" s="113">
        <f t="shared" si="26"/>
        <v>1043841911</v>
      </c>
      <c r="O100" s="113">
        <f t="shared" si="27"/>
        <v>6467149</v>
      </c>
      <c r="P100" s="113">
        <f t="shared" si="28"/>
        <v>23745961</v>
      </c>
      <c r="Q100" s="84">
        <v>0</v>
      </c>
    </row>
    <row r="101" spans="9:20">
      <c r="I101" s="213"/>
      <c r="J101" s="113">
        <f t="shared" si="21"/>
        <v>287745</v>
      </c>
      <c r="K101" s="213" t="s">
        <v>4915</v>
      </c>
      <c r="L101" s="84">
        <v>721866591</v>
      </c>
      <c r="M101" s="84">
        <v>321203407</v>
      </c>
      <c r="N101" s="113">
        <f t="shared" si="26"/>
        <v>1043069998</v>
      </c>
      <c r="O101" s="113">
        <f t="shared" si="27"/>
        <v>-1059658</v>
      </c>
      <c r="P101" s="113">
        <f t="shared" si="28"/>
        <v>-771913</v>
      </c>
      <c r="Q101" s="84">
        <v>0</v>
      </c>
    </row>
    <row r="102" spans="9:20">
      <c r="I102" s="213"/>
      <c r="J102" s="113">
        <f t="shared" si="21"/>
        <v>-5866591</v>
      </c>
      <c r="K102" s="213" t="s">
        <v>4918</v>
      </c>
      <c r="L102" s="84">
        <v>716000000</v>
      </c>
      <c r="M102" s="84">
        <v>319000000</v>
      </c>
      <c r="N102" s="113">
        <f t="shared" si="26"/>
        <v>1035000000</v>
      </c>
      <c r="O102" s="113">
        <f t="shared" si="27"/>
        <v>-2203407</v>
      </c>
      <c r="P102" s="113">
        <f t="shared" si="28"/>
        <v>-8069998</v>
      </c>
      <c r="Q102" s="84">
        <v>0</v>
      </c>
    </row>
    <row r="103" spans="9:20">
      <c r="I103" s="213"/>
      <c r="J103" s="113">
        <f t="shared" si="21"/>
        <v>288384</v>
      </c>
      <c r="K103" s="213" t="s">
        <v>4917</v>
      </c>
      <c r="L103" s="84">
        <v>716288384</v>
      </c>
      <c r="M103" s="84">
        <v>320388494</v>
      </c>
      <c r="N103" s="113">
        <f t="shared" si="26"/>
        <v>1036676878</v>
      </c>
      <c r="O103" s="113">
        <f t="shared" si="27"/>
        <v>1388494</v>
      </c>
      <c r="P103" s="113">
        <f t="shared" si="28"/>
        <v>1676878</v>
      </c>
      <c r="Q103" s="84">
        <v>0</v>
      </c>
    </row>
    <row r="104" spans="9:20">
      <c r="I104" s="190" t="s">
        <v>4964</v>
      </c>
      <c r="J104" s="196">
        <f>L104-L103-1400000</f>
        <v>-1688384</v>
      </c>
      <c r="K104" s="190" t="s">
        <v>4961</v>
      </c>
      <c r="L104" s="241">
        <v>716000000</v>
      </c>
      <c r="M104" s="241">
        <v>322000000</v>
      </c>
      <c r="N104" s="196">
        <f t="shared" si="26"/>
        <v>1038000000</v>
      </c>
      <c r="O104" s="196">
        <f t="shared" si="27"/>
        <v>1611506</v>
      </c>
      <c r="P104" s="196">
        <f>N104-N103-1400000</f>
        <v>-76878</v>
      </c>
      <c r="Q104" s="84">
        <v>1400000</v>
      </c>
    </row>
    <row r="105" spans="9:20">
      <c r="I105" s="213"/>
      <c r="J105" s="113">
        <f t="shared" si="21"/>
        <v>8529471</v>
      </c>
      <c r="K105" s="213" t="s">
        <v>4963</v>
      </c>
      <c r="L105" s="84">
        <v>724529471</v>
      </c>
      <c r="M105" s="84">
        <v>326836192</v>
      </c>
      <c r="N105" s="113">
        <f t="shared" si="26"/>
        <v>1051365663</v>
      </c>
      <c r="O105" s="113">
        <f t="shared" si="27"/>
        <v>4836192</v>
      </c>
      <c r="P105" s="113">
        <f t="shared" si="28"/>
        <v>13365663</v>
      </c>
      <c r="Q105" s="84">
        <v>0</v>
      </c>
    </row>
    <row r="106" spans="9:20">
      <c r="I106" s="189" t="s">
        <v>4966</v>
      </c>
      <c r="J106" s="188">
        <f>L106-L105-1550000</f>
        <v>16319322</v>
      </c>
      <c r="K106" s="189" t="s">
        <v>4965</v>
      </c>
      <c r="L106" s="239">
        <v>742398793</v>
      </c>
      <c r="M106" s="239">
        <v>333388204</v>
      </c>
      <c r="N106" s="188">
        <f t="shared" si="26"/>
        <v>1075786997</v>
      </c>
      <c r="O106" s="188">
        <f>M106-M105-1550000</f>
        <v>5002012</v>
      </c>
      <c r="P106" s="188">
        <f>N106-N105-3100000</f>
        <v>21321334</v>
      </c>
      <c r="Q106" s="84">
        <v>3100000</v>
      </c>
    </row>
    <row r="107" spans="9:20">
      <c r="I107" s="213"/>
      <c r="J107" s="113">
        <f t="shared" si="21"/>
        <v>7585832</v>
      </c>
      <c r="K107" s="213" t="s">
        <v>4967</v>
      </c>
      <c r="L107" s="84">
        <v>749984625</v>
      </c>
      <c r="M107" s="84">
        <v>336802679</v>
      </c>
      <c r="N107" s="113">
        <f t="shared" si="26"/>
        <v>1086787304</v>
      </c>
      <c r="O107" s="113">
        <f t="shared" si="27"/>
        <v>3414475</v>
      </c>
      <c r="P107" s="113">
        <f t="shared" si="28"/>
        <v>11000307</v>
      </c>
      <c r="Q107" s="84">
        <v>0</v>
      </c>
    </row>
    <row r="108" spans="9:20">
      <c r="I108" s="189" t="s">
        <v>4970</v>
      </c>
      <c r="J108" s="188">
        <f>L108-L107-250000</f>
        <v>9825827</v>
      </c>
      <c r="K108" s="189" t="s">
        <v>4910</v>
      </c>
      <c r="L108" s="239">
        <v>760060452</v>
      </c>
      <c r="M108" s="239">
        <v>342834562</v>
      </c>
      <c r="N108" s="188">
        <f t="shared" si="26"/>
        <v>1102895014</v>
      </c>
      <c r="O108" s="188">
        <f t="shared" si="27"/>
        <v>6031883</v>
      </c>
      <c r="P108" s="188">
        <f>N108-N107-250000</f>
        <v>15857710</v>
      </c>
      <c r="Q108" s="84">
        <v>250000</v>
      </c>
    </row>
    <row r="109" spans="9:20">
      <c r="I109" s="213"/>
      <c r="J109" s="113">
        <f t="shared" si="21"/>
        <v>4204925</v>
      </c>
      <c r="K109" s="213" t="s">
        <v>4971</v>
      </c>
      <c r="L109" s="84">
        <v>764265377</v>
      </c>
      <c r="M109" s="84">
        <v>346850621</v>
      </c>
      <c r="N109" s="117">
        <f t="shared" si="26"/>
        <v>1111115998</v>
      </c>
      <c r="O109" s="113">
        <f t="shared" si="27"/>
        <v>4016059</v>
      </c>
      <c r="P109" s="113">
        <f t="shared" si="28"/>
        <v>8220984</v>
      </c>
      <c r="Q109" s="84">
        <v>0</v>
      </c>
    </row>
    <row r="110" spans="9:20" ht="45">
      <c r="I110" s="248" t="s">
        <v>4978</v>
      </c>
      <c r="J110" s="249">
        <f>L110-L109+48527480</f>
        <v>-4646184</v>
      </c>
      <c r="K110" s="216" t="s">
        <v>4975</v>
      </c>
      <c r="L110" s="250">
        <v>711091713</v>
      </c>
      <c r="M110" s="250">
        <v>365802118</v>
      </c>
      <c r="N110" s="249">
        <f t="shared" si="26"/>
        <v>1076893831</v>
      </c>
      <c r="O110" s="249">
        <f>M110-M109+2668880-50000000</f>
        <v>-28379623</v>
      </c>
      <c r="P110" s="249">
        <f>N110-N109-50000000+48527480+2668880</f>
        <v>-33025807</v>
      </c>
      <c r="Q110" s="84">
        <v>-1196360</v>
      </c>
    </row>
    <row r="111" spans="9:20">
      <c r="I111" s="213"/>
      <c r="J111" s="113">
        <f t="shared" si="21"/>
        <v>12126436</v>
      </c>
      <c r="K111" s="213" t="s">
        <v>4980</v>
      </c>
      <c r="L111" s="84">
        <v>723218149</v>
      </c>
      <c r="M111" s="84">
        <v>378192152</v>
      </c>
      <c r="N111" s="113">
        <f t="shared" ref="N111:N161" si="29">L111+M111</f>
        <v>1101410301</v>
      </c>
      <c r="O111" s="113">
        <f t="shared" ref="O111:O161" si="30">M111-M110</f>
        <v>12390034</v>
      </c>
      <c r="P111" s="113">
        <f t="shared" ref="P111:P161" si="31">N111-N110</f>
        <v>24516470</v>
      </c>
      <c r="Q111" s="84">
        <v>0</v>
      </c>
    </row>
    <row r="112" spans="9:20">
      <c r="I112" s="189" t="s">
        <v>4986</v>
      </c>
      <c r="J112" s="188">
        <f t="shared" si="21"/>
        <v>-11559770</v>
      </c>
      <c r="K112" s="189" t="s">
        <v>4981</v>
      </c>
      <c r="L112" s="239">
        <v>711658379</v>
      </c>
      <c r="M112" s="239">
        <v>375825031</v>
      </c>
      <c r="N112" s="188">
        <f t="shared" si="29"/>
        <v>1087483410</v>
      </c>
      <c r="O112" s="188">
        <f>M112-M111-400000</f>
        <v>-2767121</v>
      </c>
      <c r="P112" s="188">
        <f>N112-N111-400000</f>
        <v>-14326891</v>
      </c>
      <c r="Q112" s="84">
        <v>400000</v>
      </c>
      <c r="T112" t="s">
        <v>25</v>
      </c>
    </row>
    <row r="113" spans="9:19">
      <c r="I113" s="213" t="s">
        <v>4989</v>
      </c>
      <c r="J113" s="113">
        <f t="shared" si="21"/>
        <v>-47970668</v>
      </c>
      <c r="K113" s="213" t="s">
        <v>4988</v>
      </c>
      <c r="L113" s="84">
        <v>663687711</v>
      </c>
      <c r="M113" s="84">
        <v>375638602</v>
      </c>
      <c r="N113" s="113">
        <f t="shared" si="29"/>
        <v>1039326313</v>
      </c>
      <c r="O113" s="113">
        <f t="shared" si="30"/>
        <v>-186429</v>
      </c>
      <c r="P113" s="113">
        <f t="shared" si="31"/>
        <v>-48157097</v>
      </c>
      <c r="Q113" s="84">
        <v>0</v>
      </c>
      <c r="S113" t="s">
        <v>25</v>
      </c>
    </row>
    <row r="114" spans="9:19">
      <c r="I114" s="213"/>
      <c r="J114" s="113">
        <f t="shared" si="21"/>
        <v>9507166</v>
      </c>
      <c r="K114" s="213" t="s">
        <v>4996</v>
      </c>
      <c r="L114" s="84">
        <v>673194877</v>
      </c>
      <c r="M114" s="84">
        <v>380477962</v>
      </c>
      <c r="N114" s="113">
        <f t="shared" si="29"/>
        <v>1053672839</v>
      </c>
      <c r="O114" s="113">
        <f t="shared" si="30"/>
        <v>4839360</v>
      </c>
      <c r="P114" s="113">
        <f t="shared" si="31"/>
        <v>14346526</v>
      </c>
      <c r="Q114" s="84">
        <v>0</v>
      </c>
    </row>
    <row r="115" spans="9:19">
      <c r="I115" s="213"/>
      <c r="J115" s="113">
        <f t="shared" si="21"/>
        <v>351502</v>
      </c>
      <c r="K115" s="213" t="s">
        <v>4997</v>
      </c>
      <c r="L115" s="84">
        <v>673546379</v>
      </c>
      <c r="M115" s="84">
        <v>385390359</v>
      </c>
      <c r="N115" s="113">
        <f t="shared" si="29"/>
        <v>1058936738</v>
      </c>
      <c r="O115" s="113">
        <f t="shared" si="30"/>
        <v>4912397</v>
      </c>
      <c r="P115" s="113">
        <f t="shared" si="31"/>
        <v>5263899</v>
      </c>
      <c r="Q115" s="84">
        <v>0</v>
      </c>
    </row>
    <row r="116" spans="9:19">
      <c r="I116" s="189" t="s">
        <v>5000</v>
      </c>
      <c r="J116" s="188">
        <f t="shared" si="21"/>
        <v>-3653734</v>
      </c>
      <c r="K116" s="189" t="s">
        <v>4998</v>
      </c>
      <c r="L116" s="239">
        <v>669892645</v>
      </c>
      <c r="M116" s="239">
        <v>383350206</v>
      </c>
      <c r="N116" s="188">
        <f>L116+M116</f>
        <v>1053242851</v>
      </c>
      <c r="O116" s="188">
        <f>M116-M115-2000000</f>
        <v>-4040153</v>
      </c>
      <c r="P116" s="188">
        <f>N116-N115-2000000</f>
        <v>-7693887</v>
      </c>
      <c r="Q116" s="84">
        <v>2000000</v>
      </c>
    </row>
    <row r="117" spans="9:19">
      <c r="I117" s="189" t="s">
        <v>5003</v>
      </c>
      <c r="J117" s="188">
        <f t="shared" si="21"/>
        <v>-492645</v>
      </c>
      <c r="K117" s="189" t="s">
        <v>5001</v>
      </c>
      <c r="L117" s="239">
        <v>669400000</v>
      </c>
      <c r="M117" s="239">
        <v>385000000</v>
      </c>
      <c r="N117" s="188">
        <f t="shared" si="29"/>
        <v>1054400000</v>
      </c>
      <c r="O117" s="188">
        <f>M117-M116-100000</f>
        <v>1549794</v>
      </c>
      <c r="P117" s="188">
        <f>N117-N116-100000</f>
        <v>1057149</v>
      </c>
      <c r="Q117" s="84">
        <v>100000</v>
      </c>
    </row>
    <row r="118" spans="9:19">
      <c r="I118" s="213"/>
      <c r="J118" s="113">
        <f t="shared" si="21"/>
        <v>7765061</v>
      </c>
      <c r="K118" s="213" t="s">
        <v>5004</v>
      </c>
      <c r="L118" s="84">
        <v>677165061</v>
      </c>
      <c r="M118" s="84">
        <v>392704452</v>
      </c>
      <c r="N118" s="113">
        <f t="shared" si="29"/>
        <v>1069869513</v>
      </c>
      <c r="O118" s="113">
        <f t="shared" si="30"/>
        <v>7704452</v>
      </c>
      <c r="P118" s="113">
        <f t="shared" si="31"/>
        <v>15469513</v>
      </c>
      <c r="Q118" s="84">
        <v>0</v>
      </c>
    </row>
    <row r="119" spans="9:19">
      <c r="I119" s="213"/>
      <c r="J119" s="113">
        <f t="shared" si="21"/>
        <v>7834939</v>
      </c>
      <c r="K119" s="213" t="s">
        <v>5005</v>
      </c>
      <c r="L119" s="84">
        <v>685000000</v>
      </c>
      <c r="M119" s="84">
        <v>395000000</v>
      </c>
      <c r="N119" s="113">
        <f t="shared" si="29"/>
        <v>1080000000</v>
      </c>
      <c r="O119" s="113">
        <f t="shared" si="30"/>
        <v>2295548</v>
      </c>
      <c r="P119" s="113">
        <f t="shared" si="31"/>
        <v>10130487</v>
      </c>
      <c r="Q119" s="84">
        <v>0</v>
      </c>
    </row>
    <row r="120" spans="9:19">
      <c r="I120" s="189" t="s">
        <v>5009</v>
      </c>
      <c r="J120" s="188">
        <f>L120-L119-2100000</f>
        <v>2603523</v>
      </c>
      <c r="K120" s="189" t="s">
        <v>5007</v>
      </c>
      <c r="L120" s="239">
        <v>689703523</v>
      </c>
      <c r="M120" s="239">
        <v>399879880</v>
      </c>
      <c r="N120" s="188">
        <f t="shared" si="29"/>
        <v>1089583403</v>
      </c>
      <c r="O120" s="188">
        <f t="shared" si="30"/>
        <v>4879880</v>
      </c>
      <c r="P120" s="188">
        <f>N120-N119-2100000</f>
        <v>7483403</v>
      </c>
      <c r="Q120" s="84">
        <v>2100000</v>
      </c>
    </row>
    <row r="121" spans="9:19">
      <c r="I121" s="189" t="s">
        <v>5014</v>
      </c>
      <c r="J121" s="188">
        <f>L121-L120-100000</f>
        <v>1223636</v>
      </c>
      <c r="K121" s="189" t="s">
        <v>5012</v>
      </c>
      <c r="L121" s="239">
        <v>691027159</v>
      </c>
      <c r="M121" s="239">
        <v>401920713</v>
      </c>
      <c r="N121" s="188">
        <f t="shared" si="29"/>
        <v>1092947872</v>
      </c>
      <c r="O121" s="188">
        <f>M121-M120-100000</f>
        <v>1940833</v>
      </c>
      <c r="P121" s="188">
        <f>N121-N120-200000</f>
        <v>3164469</v>
      </c>
      <c r="Q121" s="84">
        <v>200000</v>
      </c>
    </row>
    <row r="122" spans="9:19">
      <c r="I122" s="213"/>
      <c r="J122" s="113">
        <f t="shared" si="21"/>
        <v>-3258218</v>
      </c>
      <c r="K122" s="213" t="s">
        <v>5016</v>
      </c>
      <c r="L122" s="84">
        <v>687768941</v>
      </c>
      <c r="M122" s="84">
        <v>400952125</v>
      </c>
      <c r="N122" s="113">
        <f t="shared" si="29"/>
        <v>1088721066</v>
      </c>
      <c r="O122" s="113">
        <f t="shared" si="30"/>
        <v>-968588</v>
      </c>
      <c r="P122" s="113">
        <f t="shared" si="31"/>
        <v>-4226806</v>
      </c>
      <c r="Q122" s="229">
        <v>0</v>
      </c>
    </row>
    <row r="123" spans="9:19">
      <c r="I123" s="189" t="s">
        <v>5024</v>
      </c>
      <c r="J123" s="188">
        <f>L123-L122-115000</f>
        <v>-1004989</v>
      </c>
      <c r="K123" s="189" t="s">
        <v>5019</v>
      </c>
      <c r="L123" s="239">
        <v>686878952</v>
      </c>
      <c r="M123" s="239">
        <v>402566982</v>
      </c>
      <c r="N123" s="188">
        <f>L123+M123</f>
        <v>1089445934</v>
      </c>
      <c r="O123" s="188">
        <f>M123-M122-115000</f>
        <v>1499857</v>
      </c>
      <c r="P123" s="188">
        <f>N123-N122-230000</f>
        <v>494868</v>
      </c>
      <c r="Q123" s="229">
        <v>230000</v>
      </c>
    </row>
    <row r="124" spans="9:19">
      <c r="I124" s="189" t="s">
        <v>5028</v>
      </c>
      <c r="J124" s="188">
        <f>L124-L123-900000</f>
        <v>16455514</v>
      </c>
      <c r="K124" s="189" t="s">
        <v>5026</v>
      </c>
      <c r="L124" s="239">
        <v>704234466</v>
      </c>
      <c r="M124" s="239">
        <v>413359717</v>
      </c>
      <c r="N124" s="188">
        <f t="shared" ref="N124:N145" si="32">L124+M124</f>
        <v>1117594183</v>
      </c>
      <c r="O124" s="188">
        <f t="shared" si="30"/>
        <v>10792735</v>
      </c>
      <c r="P124" s="188">
        <f>N124-N123-900000</f>
        <v>27248249</v>
      </c>
      <c r="Q124" s="229">
        <v>900000</v>
      </c>
    </row>
    <row r="125" spans="9:19">
      <c r="I125" s="189" t="s">
        <v>5032</v>
      </c>
      <c r="J125" s="188">
        <f>L125-L124-241774</f>
        <v>7847987</v>
      </c>
      <c r="K125" s="189" t="s">
        <v>5029</v>
      </c>
      <c r="L125" s="239">
        <v>712324227</v>
      </c>
      <c r="M125" s="239">
        <v>416450606</v>
      </c>
      <c r="N125" s="188">
        <f>L125+M125</f>
        <v>1128774833</v>
      </c>
      <c r="O125" s="188">
        <f>M125-M124-50000</f>
        <v>3040889</v>
      </c>
      <c r="P125" s="188">
        <f>N125-N124-291774</f>
        <v>10888876</v>
      </c>
      <c r="Q125" s="229">
        <v>291774</v>
      </c>
    </row>
    <row r="126" spans="9:19">
      <c r="I126" s="189" t="s">
        <v>5043</v>
      </c>
      <c r="J126" s="188">
        <f>L126-L125-5701774</f>
        <v>-18426154</v>
      </c>
      <c r="K126" s="189" t="s">
        <v>5041</v>
      </c>
      <c r="L126" s="239">
        <v>699599847</v>
      </c>
      <c r="M126" s="239">
        <v>407446033</v>
      </c>
      <c r="N126" s="188">
        <f t="shared" si="32"/>
        <v>1107045880</v>
      </c>
      <c r="O126" s="188">
        <f>M126-M125-50000</f>
        <v>-9054573</v>
      </c>
      <c r="P126" s="188">
        <f>N126-N125-5751774</f>
        <v>-27480727</v>
      </c>
      <c r="Q126" s="229">
        <v>5751774</v>
      </c>
    </row>
    <row r="127" spans="9:19">
      <c r="I127" s="251" t="s">
        <v>5050</v>
      </c>
      <c r="J127" s="252">
        <f t="shared" si="21"/>
        <v>9831878</v>
      </c>
      <c r="K127" s="251" t="s">
        <v>5044</v>
      </c>
      <c r="L127" s="253">
        <v>709431725</v>
      </c>
      <c r="M127" s="253">
        <v>415572724</v>
      </c>
      <c r="N127" s="252">
        <f t="shared" si="32"/>
        <v>1125004449</v>
      </c>
      <c r="O127" s="252">
        <f>M127-M126-25000</f>
        <v>8101691</v>
      </c>
      <c r="P127" s="252">
        <f>N127-N126-25000</f>
        <v>17933569</v>
      </c>
      <c r="Q127" s="229">
        <v>25000</v>
      </c>
    </row>
    <row r="128" spans="9:19">
      <c r="I128" s="99"/>
      <c r="J128" s="113">
        <f t="shared" si="21"/>
        <v>3212707</v>
      </c>
      <c r="K128" s="213" t="s">
        <v>5051</v>
      </c>
      <c r="L128" s="84">
        <v>712644432</v>
      </c>
      <c r="M128" s="84">
        <v>416860968</v>
      </c>
      <c r="N128" s="113">
        <f t="shared" si="32"/>
        <v>1129505400</v>
      </c>
      <c r="O128" s="113">
        <f t="shared" si="30"/>
        <v>1288244</v>
      </c>
      <c r="P128" s="113">
        <f t="shared" si="31"/>
        <v>4500951</v>
      </c>
      <c r="Q128" s="229">
        <v>0</v>
      </c>
    </row>
    <row r="129" spans="9:19">
      <c r="I129" s="19"/>
      <c r="J129" s="117">
        <f t="shared" si="21"/>
        <v>3661985</v>
      </c>
      <c r="K129" s="19" t="s">
        <v>5053</v>
      </c>
      <c r="L129" s="255">
        <v>716306417</v>
      </c>
      <c r="M129" s="255">
        <v>419768145</v>
      </c>
      <c r="N129" s="117">
        <f>L129+M129</f>
        <v>1136074562</v>
      </c>
      <c r="O129" s="117">
        <f>M129-M128</f>
        <v>2907177</v>
      </c>
      <c r="P129" s="117">
        <f>N129-N128</f>
        <v>6569162</v>
      </c>
      <c r="Q129" s="229">
        <v>0</v>
      </c>
    </row>
    <row r="130" spans="9:19">
      <c r="I130" s="189" t="s">
        <v>5063</v>
      </c>
      <c r="J130" s="188">
        <f t="shared" si="21"/>
        <v>-9284823</v>
      </c>
      <c r="K130" s="189" t="s">
        <v>5056</v>
      </c>
      <c r="L130" s="239">
        <v>707021594</v>
      </c>
      <c r="M130" s="239">
        <v>420305454</v>
      </c>
      <c r="N130" s="188">
        <f t="shared" si="32"/>
        <v>1127327048</v>
      </c>
      <c r="O130" s="188">
        <f>M130-M129-6800000</f>
        <v>-6262691</v>
      </c>
      <c r="P130" s="188">
        <f>N130-N129-6800000</f>
        <v>-15547514</v>
      </c>
      <c r="Q130" s="229">
        <v>6800000</v>
      </c>
      <c r="S130" t="s">
        <v>25</v>
      </c>
    </row>
    <row r="131" spans="9:19">
      <c r="I131" s="189" t="s">
        <v>5071</v>
      </c>
      <c r="J131" s="188">
        <f t="shared" si="21"/>
        <v>2112595</v>
      </c>
      <c r="K131" s="189" t="s">
        <v>5064</v>
      </c>
      <c r="L131" s="239">
        <v>709134189</v>
      </c>
      <c r="M131" s="239">
        <v>421097153</v>
      </c>
      <c r="N131" s="188">
        <f t="shared" si="32"/>
        <v>1130231342</v>
      </c>
      <c r="O131" s="188">
        <f>M131-M130-500000</f>
        <v>291699</v>
      </c>
      <c r="P131" s="188">
        <f>N131-N130-500000</f>
        <v>2404294</v>
      </c>
      <c r="Q131" s="229">
        <v>500000</v>
      </c>
      <c r="S131" t="s">
        <v>25</v>
      </c>
    </row>
    <row r="132" spans="9:19">
      <c r="I132" s="251" t="s">
        <v>5075</v>
      </c>
      <c r="J132" s="252">
        <f t="shared" si="21"/>
        <v>1064287</v>
      </c>
      <c r="K132" s="251" t="s">
        <v>5072</v>
      </c>
      <c r="L132" s="253">
        <v>710198476</v>
      </c>
      <c r="M132" s="253">
        <v>422434338</v>
      </c>
      <c r="N132" s="252">
        <f t="shared" si="32"/>
        <v>1132632814</v>
      </c>
      <c r="O132" s="252">
        <f>M132-M131-850000</f>
        <v>487185</v>
      </c>
      <c r="P132" s="252">
        <f>N132-N131-850000</f>
        <v>1551472</v>
      </c>
      <c r="Q132" s="229">
        <v>850000</v>
      </c>
    </row>
    <row r="133" spans="9:19">
      <c r="I133" s="213"/>
      <c r="J133" s="113">
        <f t="shared" si="21"/>
        <v>12623812</v>
      </c>
      <c r="K133" s="213" t="s">
        <v>5079</v>
      </c>
      <c r="L133" s="84">
        <v>722822288</v>
      </c>
      <c r="M133" s="84">
        <v>429606125</v>
      </c>
      <c r="N133" s="117">
        <f t="shared" si="32"/>
        <v>1152428413</v>
      </c>
      <c r="O133" s="113">
        <f t="shared" si="30"/>
        <v>7171787</v>
      </c>
      <c r="P133" s="113">
        <f t="shared" si="31"/>
        <v>19795599</v>
      </c>
      <c r="Q133" s="229">
        <v>0</v>
      </c>
    </row>
    <row r="134" spans="9:19">
      <c r="I134" s="213"/>
      <c r="J134" s="113">
        <f t="shared" si="21"/>
        <v>21458282</v>
      </c>
      <c r="K134" s="213" t="s">
        <v>5080</v>
      </c>
      <c r="L134" s="84">
        <v>744280570</v>
      </c>
      <c r="M134" s="84">
        <v>440002399</v>
      </c>
      <c r="N134" s="117">
        <f t="shared" si="32"/>
        <v>1184282969</v>
      </c>
      <c r="O134" s="113">
        <f t="shared" si="30"/>
        <v>10396274</v>
      </c>
      <c r="P134" s="113">
        <f t="shared" si="31"/>
        <v>31854556</v>
      </c>
      <c r="Q134" s="229">
        <v>0</v>
      </c>
    </row>
    <row r="135" spans="9:19">
      <c r="I135" s="189" t="s">
        <v>5103</v>
      </c>
      <c r="J135" s="188">
        <f>L135-L134-1130250</f>
        <v>-410820</v>
      </c>
      <c r="K135" s="189" t="s">
        <v>5082</v>
      </c>
      <c r="L135" s="239">
        <v>745000000</v>
      </c>
      <c r="M135" s="239">
        <v>437000000</v>
      </c>
      <c r="N135" s="188">
        <f t="shared" si="32"/>
        <v>1182000000</v>
      </c>
      <c r="O135" s="188">
        <f>M135-M134-1130250</f>
        <v>-4132649</v>
      </c>
      <c r="P135" s="188">
        <f>N135-N134-2260500</f>
        <v>-4543469</v>
      </c>
      <c r="Q135" s="229">
        <v>2260500</v>
      </c>
    </row>
    <row r="136" spans="9:19">
      <c r="I136" s="213"/>
      <c r="J136" s="113">
        <f t="shared" si="21"/>
        <v>-6610338</v>
      </c>
      <c r="K136" s="213" t="s">
        <v>5087</v>
      </c>
      <c r="L136" s="84">
        <v>738389662</v>
      </c>
      <c r="M136" s="84">
        <v>433994737</v>
      </c>
      <c r="N136" s="113">
        <f t="shared" si="32"/>
        <v>1172384399</v>
      </c>
      <c r="O136" s="113">
        <f t="shared" si="30"/>
        <v>-3005263</v>
      </c>
      <c r="P136" s="113">
        <f t="shared" si="31"/>
        <v>-9615601</v>
      </c>
      <c r="Q136" s="229">
        <v>0</v>
      </c>
    </row>
    <row r="137" spans="9:19">
      <c r="I137" s="213"/>
      <c r="J137" s="113">
        <f t="shared" si="21"/>
        <v>-6184317</v>
      </c>
      <c r="K137" s="213" t="s">
        <v>5095</v>
      </c>
      <c r="L137" s="84">
        <v>732205345</v>
      </c>
      <c r="M137" s="84">
        <v>433540549</v>
      </c>
      <c r="N137" s="113">
        <f t="shared" si="32"/>
        <v>1165745894</v>
      </c>
      <c r="O137" s="113">
        <f t="shared" si="30"/>
        <v>-454188</v>
      </c>
      <c r="P137" s="113">
        <f t="shared" si="31"/>
        <v>-6638505</v>
      </c>
      <c r="Q137" s="229">
        <v>0</v>
      </c>
    </row>
    <row r="138" spans="9:19">
      <c r="I138" s="213"/>
      <c r="J138" s="113">
        <f t="shared" si="21"/>
        <v>4122409</v>
      </c>
      <c r="K138" s="213" t="s">
        <v>5099</v>
      </c>
      <c r="L138" s="84">
        <v>736327754</v>
      </c>
      <c r="M138" s="84">
        <v>439057094</v>
      </c>
      <c r="N138" s="113">
        <f t="shared" si="32"/>
        <v>1175384848</v>
      </c>
      <c r="O138" s="113">
        <f t="shared" si="30"/>
        <v>5516545</v>
      </c>
      <c r="P138" s="113">
        <f t="shared" si="31"/>
        <v>9638954</v>
      </c>
      <c r="Q138" s="229">
        <v>0</v>
      </c>
    </row>
    <row r="139" spans="9:19">
      <c r="I139" s="189" t="s">
        <v>5102</v>
      </c>
      <c r="J139" s="188">
        <f>L139-L138-206000</f>
        <v>15013287</v>
      </c>
      <c r="K139" s="189" t="s">
        <v>5101</v>
      </c>
      <c r="L139" s="239">
        <v>751547041</v>
      </c>
      <c r="M139" s="239">
        <v>448656068</v>
      </c>
      <c r="N139" s="188">
        <f t="shared" si="32"/>
        <v>1200203109</v>
      </c>
      <c r="O139" s="188">
        <f>M139-M138-206000</f>
        <v>9392974</v>
      </c>
      <c r="P139" s="188">
        <f>N139-N138-412000</f>
        <v>24406261</v>
      </c>
      <c r="Q139" s="229">
        <v>412000</v>
      </c>
    </row>
    <row r="140" spans="9:19">
      <c r="I140" s="251" t="s">
        <v>5110</v>
      </c>
      <c r="J140" s="252">
        <f>L140-L139-50000</f>
        <v>22852739</v>
      </c>
      <c r="K140" s="251" t="s">
        <v>5109</v>
      </c>
      <c r="L140" s="253">
        <v>774449780</v>
      </c>
      <c r="M140" s="253">
        <v>460796198</v>
      </c>
      <c r="N140" s="252">
        <f t="shared" si="32"/>
        <v>1235245978</v>
      </c>
      <c r="O140" s="252">
        <f>M140-M139-50000</f>
        <v>12090130</v>
      </c>
      <c r="P140" s="252">
        <f>N140-N139-100000</f>
        <v>34942869</v>
      </c>
      <c r="Q140" s="229">
        <v>100000</v>
      </c>
    </row>
    <row r="141" spans="9:19">
      <c r="I141" s="213"/>
      <c r="J141" s="113">
        <f t="shared" si="21"/>
        <v>13614989</v>
      </c>
      <c r="K141" s="213" t="s">
        <v>5116</v>
      </c>
      <c r="L141" s="84">
        <v>788064769</v>
      </c>
      <c r="M141" s="84">
        <v>470434493</v>
      </c>
      <c r="N141" s="117">
        <f t="shared" si="32"/>
        <v>1258499262</v>
      </c>
      <c r="O141" s="113">
        <f t="shared" si="30"/>
        <v>9638295</v>
      </c>
      <c r="P141" s="113">
        <f t="shared" si="31"/>
        <v>23253284</v>
      </c>
      <c r="Q141" s="229">
        <v>0</v>
      </c>
    </row>
    <row r="142" spans="9:19">
      <c r="I142" s="189" t="s">
        <v>5122</v>
      </c>
      <c r="J142" s="188">
        <f>L142-L141-105000</f>
        <v>7274368</v>
      </c>
      <c r="K142" s="189" t="s">
        <v>5117</v>
      </c>
      <c r="L142" s="239">
        <v>795444137</v>
      </c>
      <c r="M142" s="239">
        <v>496046411</v>
      </c>
      <c r="N142" s="188">
        <f t="shared" si="32"/>
        <v>1291490548</v>
      </c>
      <c r="O142" s="188">
        <f>M142-M141-20000000</f>
        <v>5611918</v>
      </c>
      <c r="P142" s="188">
        <f>N142-N141-20105000</f>
        <v>12886286</v>
      </c>
      <c r="Q142" s="229">
        <v>20105000</v>
      </c>
    </row>
    <row r="143" spans="9:19">
      <c r="I143" s="266" t="s">
        <v>5137</v>
      </c>
      <c r="J143" s="267">
        <f>L143-L142+21285588</f>
        <v>17942685</v>
      </c>
      <c r="K143" s="266" t="s">
        <v>5125</v>
      </c>
      <c r="L143" s="268">
        <v>792101234</v>
      </c>
      <c r="M143" s="268">
        <v>504721695</v>
      </c>
      <c r="N143" s="267">
        <f t="shared" si="32"/>
        <v>1296822929</v>
      </c>
      <c r="O143" s="267">
        <f t="shared" si="30"/>
        <v>8675284</v>
      </c>
      <c r="P143" s="267">
        <f>N143-N142+21285588</f>
        <v>26617969</v>
      </c>
      <c r="Q143" s="229">
        <v>-21285588</v>
      </c>
    </row>
    <row r="144" spans="9:19">
      <c r="I144" s="266" t="s">
        <v>5138</v>
      </c>
      <c r="J144" s="267">
        <f>L144-L143+5949277</f>
        <v>6616903</v>
      </c>
      <c r="K144" s="266" t="s">
        <v>5128</v>
      </c>
      <c r="L144" s="268">
        <v>792768860</v>
      </c>
      <c r="M144" s="268">
        <v>507955566</v>
      </c>
      <c r="N144" s="35">
        <f t="shared" si="32"/>
        <v>1300724426</v>
      </c>
      <c r="O144" s="267">
        <f t="shared" si="30"/>
        <v>3233871</v>
      </c>
      <c r="P144" s="267">
        <f>N144-N143+5949277</f>
        <v>9850774</v>
      </c>
      <c r="Q144" s="229">
        <v>-5949277</v>
      </c>
    </row>
    <row r="145" spans="9:23" ht="30">
      <c r="I145" s="248" t="s">
        <v>5139</v>
      </c>
      <c r="J145" s="249">
        <f>L145-L144+16266000</f>
        <v>-3424278</v>
      </c>
      <c r="K145" s="216" t="s">
        <v>993</v>
      </c>
      <c r="L145" s="250">
        <v>773078582</v>
      </c>
      <c r="M145" s="250">
        <v>483243300</v>
      </c>
      <c r="N145" s="249">
        <f t="shared" si="32"/>
        <v>1256321882</v>
      </c>
      <c r="O145" s="249">
        <f>M145-M144+24159150</f>
        <v>-553116</v>
      </c>
      <c r="P145" s="249">
        <f>N145-N144+40425150</f>
        <v>-3977394</v>
      </c>
      <c r="Q145" s="229">
        <v>-40425150</v>
      </c>
    </row>
    <row r="146" spans="9:23" ht="30">
      <c r="I146" s="269" t="s">
        <v>5147</v>
      </c>
      <c r="J146" s="220">
        <f>L146-L145+15482124</f>
        <v>-6662026</v>
      </c>
      <c r="K146" s="219" t="s">
        <v>5095</v>
      </c>
      <c r="L146" s="270">
        <v>750934432</v>
      </c>
      <c r="M146" s="270">
        <v>477277384</v>
      </c>
      <c r="N146" s="220">
        <f t="shared" ref="N146:N160" si="33">L146+M146</f>
        <v>1228211816</v>
      </c>
      <c r="O146" s="220">
        <f>M146-M145-50000</f>
        <v>-6015916</v>
      </c>
      <c r="P146" s="220">
        <f>N146-N145-50000+15482124</f>
        <v>-12677942</v>
      </c>
      <c r="Q146" s="229">
        <f>50000-15482124</f>
        <v>-15432124</v>
      </c>
    </row>
    <row r="147" spans="9:23">
      <c r="I147" s="213"/>
      <c r="J147" s="113">
        <f t="shared" ref="J147:J160" si="34">L147-L146</f>
        <v>-750934432</v>
      </c>
      <c r="K147" s="213" t="s">
        <v>5095</v>
      </c>
      <c r="L147" s="84">
        <v>0</v>
      </c>
      <c r="M147" s="84">
        <v>0</v>
      </c>
      <c r="N147" s="113">
        <f t="shared" si="33"/>
        <v>0</v>
      </c>
      <c r="O147" s="113">
        <f t="shared" ref="O147:O160" si="35">M147-M146</f>
        <v>-477277384</v>
      </c>
      <c r="P147" s="113">
        <f t="shared" ref="P147:P160" si="36">N147-N146</f>
        <v>-1228211816</v>
      </c>
    </row>
    <row r="148" spans="9:23">
      <c r="I148" s="213"/>
      <c r="J148" s="113">
        <f t="shared" si="34"/>
        <v>0</v>
      </c>
      <c r="K148" s="213" t="s">
        <v>5095</v>
      </c>
      <c r="L148" s="84">
        <v>0</v>
      </c>
      <c r="M148" s="84">
        <v>0</v>
      </c>
      <c r="N148" s="113">
        <f t="shared" si="33"/>
        <v>0</v>
      </c>
      <c r="O148" s="113">
        <f t="shared" si="35"/>
        <v>0</v>
      </c>
      <c r="P148" s="113">
        <f t="shared" si="36"/>
        <v>0</v>
      </c>
      <c r="T148" t="s">
        <v>25</v>
      </c>
    </row>
    <row r="149" spans="9:23">
      <c r="I149" s="213"/>
      <c r="J149" s="113">
        <f t="shared" si="34"/>
        <v>0</v>
      </c>
      <c r="K149" s="213" t="s">
        <v>5095</v>
      </c>
      <c r="L149" s="84">
        <v>0</v>
      </c>
      <c r="M149" s="84">
        <v>0</v>
      </c>
      <c r="N149" s="113">
        <f t="shared" si="33"/>
        <v>0</v>
      </c>
      <c r="O149" s="113">
        <f t="shared" si="35"/>
        <v>0</v>
      </c>
      <c r="P149" s="113">
        <f t="shared" si="36"/>
        <v>0</v>
      </c>
      <c r="V149" t="s">
        <v>25</v>
      </c>
    </row>
    <row r="150" spans="9:23">
      <c r="I150" s="213"/>
      <c r="J150" s="113">
        <f t="shared" si="34"/>
        <v>0</v>
      </c>
      <c r="K150" s="213" t="s">
        <v>5095</v>
      </c>
      <c r="L150" s="84">
        <v>0</v>
      </c>
      <c r="M150" s="84">
        <v>0</v>
      </c>
      <c r="N150" s="113">
        <f t="shared" si="33"/>
        <v>0</v>
      </c>
      <c r="O150" s="113">
        <f t="shared" si="35"/>
        <v>0</v>
      </c>
      <c r="P150" s="113">
        <f t="shared" si="36"/>
        <v>0</v>
      </c>
    </row>
    <row r="151" spans="9:23">
      <c r="I151" s="213"/>
      <c r="J151" s="113">
        <f t="shared" si="34"/>
        <v>0</v>
      </c>
      <c r="K151" s="213" t="s">
        <v>5095</v>
      </c>
      <c r="L151" s="84">
        <v>0</v>
      </c>
      <c r="M151" s="84">
        <v>0</v>
      </c>
      <c r="N151" s="113">
        <f t="shared" si="33"/>
        <v>0</v>
      </c>
      <c r="O151" s="113">
        <f t="shared" si="35"/>
        <v>0</v>
      </c>
      <c r="P151" s="113">
        <f t="shared" si="36"/>
        <v>0</v>
      </c>
    </row>
    <row r="152" spans="9:23">
      <c r="I152" s="213"/>
      <c r="J152" s="113">
        <f t="shared" si="34"/>
        <v>0</v>
      </c>
      <c r="K152" s="213" t="s">
        <v>5095</v>
      </c>
      <c r="L152" s="84">
        <v>0</v>
      </c>
      <c r="M152" s="84">
        <v>0</v>
      </c>
      <c r="N152" s="113">
        <f t="shared" si="33"/>
        <v>0</v>
      </c>
      <c r="O152" s="113">
        <f t="shared" si="35"/>
        <v>0</v>
      </c>
      <c r="P152" s="113">
        <f t="shared" si="36"/>
        <v>0</v>
      </c>
    </row>
    <row r="153" spans="9:23">
      <c r="I153" s="213"/>
      <c r="J153" s="113">
        <f t="shared" si="34"/>
        <v>0</v>
      </c>
      <c r="K153" s="213" t="s">
        <v>5095</v>
      </c>
      <c r="L153" s="84">
        <v>0</v>
      </c>
      <c r="M153" s="84">
        <v>0</v>
      </c>
      <c r="N153" s="113">
        <f t="shared" si="33"/>
        <v>0</v>
      </c>
      <c r="O153" s="113">
        <f t="shared" si="35"/>
        <v>0</v>
      </c>
      <c r="P153" s="113">
        <f t="shared" si="36"/>
        <v>0</v>
      </c>
    </row>
    <row r="154" spans="9:23">
      <c r="I154" s="213"/>
      <c r="J154" s="113">
        <f t="shared" si="34"/>
        <v>0</v>
      </c>
      <c r="K154" s="213" t="s">
        <v>5095</v>
      </c>
      <c r="L154" s="84">
        <v>0</v>
      </c>
      <c r="M154" s="84">
        <v>0</v>
      </c>
      <c r="N154" s="113">
        <f t="shared" si="33"/>
        <v>0</v>
      </c>
      <c r="O154" s="113">
        <f t="shared" si="35"/>
        <v>0</v>
      </c>
      <c r="P154" s="113">
        <f t="shared" si="36"/>
        <v>0</v>
      </c>
    </row>
    <row r="155" spans="9:23">
      <c r="I155" s="213"/>
      <c r="J155" s="113">
        <f t="shared" si="34"/>
        <v>0</v>
      </c>
      <c r="K155" s="213" t="s">
        <v>5095</v>
      </c>
      <c r="L155" s="84">
        <v>0</v>
      </c>
      <c r="M155" s="84">
        <v>0</v>
      </c>
      <c r="N155" s="113">
        <f t="shared" si="33"/>
        <v>0</v>
      </c>
      <c r="O155" s="113">
        <f t="shared" si="35"/>
        <v>0</v>
      </c>
      <c r="P155" s="113">
        <f t="shared" si="36"/>
        <v>0</v>
      </c>
    </row>
    <row r="156" spans="9:23">
      <c r="I156" s="213"/>
      <c r="J156" s="113">
        <f t="shared" si="34"/>
        <v>0</v>
      </c>
      <c r="K156" s="213" t="s">
        <v>5095</v>
      </c>
      <c r="L156" s="84">
        <v>0</v>
      </c>
      <c r="M156" s="84">
        <v>0</v>
      </c>
      <c r="N156" s="113">
        <f t="shared" si="33"/>
        <v>0</v>
      </c>
      <c r="O156" s="113">
        <f t="shared" si="35"/>
        <v>0</v>
      </c>
      <c r="P156" s="113">
        <f t="shared" si="36"/>
        <v>0</v>
      </c>
    </row>
    <row r="157" spans="9:23">
      <c r="I157" s="213"/>
      <c r="J157" s="113">
        <f t="shared" si="34"/>
        <v>0</v>
      </c>
      <c r="K157" s="213" t="s">
        <v>5095</v>
      </c>
      <c r="L157" s="84">
        <v>0</v>
      </c>
      <c r="M157" s="84">
        <v>0</v>
      </c>
      <c r="N157" s="113">
        <f t="shared" si="33"/>
        <v>0</v>
      </c>
      <c r="O157" s="113">
        <f t="shared" si="35"/>
        <v>0</v>
      </c>
      <c r="P157" s="113">
        <f t="shared" si="36"/>
        <v>0</v>
      </c>
      <c r="W157" t="s">
        <v>25</v>
      </c>
    </row>
    <row r="158" spans="9:23">
      <c r="I158" s="213"/>
      <c r="J158" s="113">
        <f t="shared" si="34"/>
        <v>0</v>
      </c>
      <c r="K158" s="213" t="s">
        <v>5095</v>
      </c>
      <c r="L158" s="84">
        <v>0</v>
      </c>
      <c r="M158" s="84">
        <v>0</v>
      </c>
      <c r="N158" s="113">
        <f t="shared" si="33"/>
        <v>0</v>
      </c>
      <c r="O158" s="113">
        <f t="shared" si="35"/>
        <v>0</v>
      </c>
      <c r="P158" s="113">
        <f t="shared" si="36"/>
        <v>0</v>
      </c>
    </row>
    <row r="159" spans="9:23">
      <c r="I159" s="213"/>
      <c r="J159" s="113">
        <f t="shared" si="34"/>
        <v>0</v>
      </c>
      <c r="K159" s="213" t="s">
        <v>5095</v>
      </c>
      <c r="L159" s="84">
        <v>0</v>
      </c>
      <c r="M159" s="84">
        <v>0</v>
      </c>
      <c r="N159" s="113">
        <f t="shared" si="33"/>
        <v>0</v>
      </c>
      <c r="O159" s="113">
        <f t="shared" si="35"/>
        <v>0</v>
      </c>
      <c r="P159" s="113">
        <f t="shared" si="36"/>
        <v>0</v>
      </c>
    </row>
    <row r="160" spans="9:23">
      <c r="I160" s="213"/>
      <c r="J160" s="113">
        <f t="shared" si="34"/>
        <v>0</v>
      </c>
      <c r="K160" s="213" t="s">
        <v>5095</v>
      </c>
      <c r="L160" s="84">
        <v>0</v>
      </c>
      <c r="M160" s="84">
        <v>0</v>
      </c>
      <c r="N160" s="113">
        <f t="shared" si="33"/>
        <v>0</v>
      </c>
      <c r="O160" s="113">
        <f t="shared" si="35"/>
        <v>0</v>
      </c>
      <c r="P160" s="113">
        <f t="shared" si="36"/>
        <v>0</v>
      </c>
    </row>
    <row r="161" spans="9:16">
      <c r="I161" s="213"/>
      <c r="J161" s="113">
        <f t="shared" si="21"/>
        <v>0</v>
      </c>
      <c r="K161" s="213"/>
      <c r="L161" s="84">
        <v>0</v>
      </c>
      <c r="M161" s="84"/>
      <c r="N161" s="213">
        <f t="shared" si="29"/>
        <v>0</v>
      </c>
      <c r="O161" s="113">
        <f t="shared" si="30"/>
        <v>0</v>
      </c>
      <c r="P161" s="113">
        <f t="shared" si="31"/>
        <v>0</v>
      </c>
    </row>
    <row r="164" spans="9:16">
      <c r="O164" t="s">
        <v>25</v>
      </c>
    </row>
    <row r="165" spans="9:16">
      <c r="L165" t="s">
        <v>25</v>
      </c>
      <c r="N165" t="s">
        <v>25</v>
      </c>
      <c r="O165" t="s">
        <v>25</v>
      </c>
    </row>
    <row r="166" spans="9:16">
      <c r="P166" t="s">
        <v>25</v>
      </c>
    </row>
    <row r="167" spans="9:16">
      <c r="N167" t="s">
        <v>25</v>
      </c>
    </row>
    <row r="168" spans="9:16">
      <c r="N168" t="s">
        <v>25</v>
      </c>
      <c r="O168" t="s">
        <v>25</v>
      </c>
    </row>
    <row r="170" spans="9:16">
      <c r="N170"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4432</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4538</v>
      </c>
      <c r="Z2" s="99" t="s">
        <v>4594</v>
      </c>
      <c r="AA2" s="99" t="s">
        <v>4592</v>
      </c>
      <c r="AB2" s="99" t="s">
        <v>4593</v>
      </c>
      <c r="AC2" s="99" t="s">
        <v>4596</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4598</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4595</v>
      </c>
      <c r="Z4" s="99">
        <v>1</v>
      </c>
      <c r="AA4" s="99">
        <v>1</v>
      </c>
      <c r="AB4" s="99">
        <f t="shared" si="0"/>
        <v>1</v>
      </c>
      <c r="AC4" s="99" t="s">
        <v>4597</v>
      </c>
      <c r="AD4" s="99"/>
      <c r="AE4" s="99"/>
      <c r="AF4" s="99"/>
      <c r="AG4" s="99"/>
      <c r="AH4" s="99"/>
    </row>
    <row r="5" spans="1:34">
      <c r="A5" s="99">
        <v>4</v>
      </c>
      <c r="B5" s="99"/>
      <c r="C5" s="169">
        <v>102</v>
      </c>
      <c r="D5" s="99">
        <v>20000</v>
      </c>
      <c r="E5" s="99">
        <f t="shared" si="1"/>
        <v>980000</v>
      </c>
      <c r="F5" s="169">
        <f t="shared" si="2"/>
        <v>-2030004</v>
      </c>
      <c r="G5" s="169">
        <f t="shared" si="3"/>
        <v>9996</v>
      </c>
      <c r="Y5" s="99" t="s">
        <v>4581</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4571</v>
      </c>
      <c r="B43" s="113">
        <v>100000</v>
      </c>
      <c r="C43" s="99" t="s">
        <v>3891</v>
      </c>
      <c r="D43" s="99">
        <v>58</v>
      </c>
      <c r="E43" s="99">
        <f t="shared" si="5"/>
        <v>105</v>
      </c>
      <c r="F43" s="99">
        <f t="shared" si="0"/>
        <v>1</v>
      </c>
      <c r="G43" s="99">
        <f t="shared" si="2"/>
        <v>10400000</v>
      </c>
    </row>
    <row r="44" spans="1:14">
      <c r="A44" s="99" t="s">
        <v>4761</v>
      </c>
      <c r="B44" s="113">
        <v>-31000</v>
      </c>
      <c r="C44" s="99" t="s">
        <v>4770</v>
      </c>
      <c r="D44" s="99">
        <v>19</v>
      </c>
      <c r="E44" s="99">
        <f t="shared" ref="E44:E50" si="6">E45+D44</f>
        <v>47</v>
      </c>
      <c r="F44" s="99">
        <f t="shared" ref="F44:F50" si="7">IF(B44&gt;0,1,0)</f>
        <v>0</v>
      </c>
      <c r="G44" s="99">
        <f t="shared" ref="G44:G50" si="8">B44*(E44-F44)</f>
        <v>-1457000</v>
      </c>
    </row>
    <row r="45" spans="1:14">
      <c r="A45" s="99" t="s">
        <v>4846</v>
      </c>
      <c r="B45" s="113">
        <v>2060725</v>
      </c>
      <c r="C45" s="99" t="s">
        <v>4849</v>
      </c>
      <c r="D45" s="99">
        <v>6</v>
      </c>
      <c r="E45" s="99">
        <f t="shared" si="6"/>
        <v>28</v>
      </c>
      <c r="F45" s="99">
        <f t="shared" si="7"/>
        <v>1</v>
      </c>
      <c r="G45" s="99">
        <f t="shared" si="8"/>
        <v>55639575</v>
      </c>
    </row>
    <row r="46" spans="1:14">
      <c r="A46" s="99" t="s">
        <v>4872</v>
      </c>
      <c r="B46" s="113">
        <v>-1073169</v>
      </c>
      <c r="C46" s="99" t="s">
        <v>4873</v>
      </c>
      <c r="D46" s="99">
        <v>4</v>
      </c>
      <c r="E46" s="99">
        <f t="shared" si="6"/>
        <v>22</v>
      </c>
      <c r="F46" s="99">
        <f t="shared" si="7"/>
        <v>0</v>
      </c>
      <c r="G46" s="99">
        <f t="shared" si="8"/>
        <v>-23609718</v>
      </c>
    </row>
    <row r="47" spans="1:14">
      <c r="A47" s="99" t="s">
        <v>4864</v>
      </c>
      <c r="B47" s="113">
        <v>-178820</v>
      </c>
      <c r="C47" s="99" t="s">
        <v>4014</v>
      </c>
      <c r="D47" s="99">
        <v>0</v>
      </c>
      <c r="E47" s="99">
        <f t="shared" si="6"/>
        <v>18</v>
      </c>
      <c r="F47" s="99">
        <f t="shared" si="7"/>
        <v>0</v>
      </c>
      <c r="G47" s="99">
        <f t="shared" si="8"/>
        <v>-3218760</v>
      </c>
      <c r="L47" t="s">
        <v>25</v>
      </c>
    </row>
    <row r="48" spans="1:14">
      <c r="A48" s="99" t="s">
        <v>4864</v>
      </c>
      <c r="B48" s="113">
        <v>-25000</v>
      </c>
      <c r="C48" s="99" t="s">
        <v>751</v>
      </c>
      <c r="D48" s="99">
        <v>4</v>
      </c>
      <c r="E48" s="99">
        <f t="shared" si="6"/>
        <v>18</v>
      </c>
      <c r="F48" s="99">
        <f t="shared" si="7"/>
        <v>0</v>
      </c>
      <c r="G48" s="99">
        <f t="shared" si="8"/>
        <v>-450000</v>
      </c>
      <c r="L48" t="s">
        <v>25</v>
      </c>
    </row>
    <row r="49" spans="1:13">
      <c r="A49" s="99" t="s">
        <v>4877</v>
      </c>
      <c r="B49" s="113">
        <v>-49500</v>
      </c>
      <c r="C49" s="99" t="s">
        <v>452</v>
      </c>
      <c r="D49" s="99">
        <v>2</v>
      </c>
      <c r="E49" s="99">
        <f t="shared" si="6"/>
        <v>14</v>
      </c>
      <c r="F49" s="99">
        <f t="shared" si="7"/>
        <v>0</v>
      </c>
      <c r="G49" s="99">
        <f t="shared" si="8"/>
        <v>-693000</v>
      </c>
    </row>
    <row r="50" spans="1:13">
      <c r="A50" s="99" t="s">
        <v>4881</v>
      </c>
      <c r="B50" s="113">
        <v>-4500</v>
      </c>
      <c r="C50" s="99" t="s">
        <v>452</v>
      </c>
      <c r="D50" s="99">
        <v>1</v>
      </c>
      <c r="E50" s="99">
        <f t="shared" si="6"/>
        <v>12</v>
      </c>
      <c r="F50" s="99">
        <f t="shared" si="7"/>
        <v>0</v>
      </c>
      <c r="G50" s="99">
        <f t="shared" si="8"/>
        <v>-54000</v>
      </c>
    </row>
    <row r="51" spans="1:13">
      <c r="A51" s="99" t="s">
        <v>4882</v>
      </c>
      <c r="B51" s="113">
        <v>-328000</v>
      </c>
      <c r="C51" s="99" t="s">
        <v>452</v>
      </c>
      <c r="D51" s="99">
        <v>4</v>
      </c>
      <c r="E51" s="99">
        <f t="shared" ref="E51:E61" si="9">E52+D51</f>
        <v>11</v>
      </c>
      <c r="F51" s="99">
        <f t="shared" ref="F51:F61" si="10">IF(B51&gt;0,1,0)</f>
        <v>0</v>
      </c>
      <c r="G51" s="99">
        <f t="shared" ref="G51:G61" si="11">B51*(E51-F51)</f>
        <v>-3608000</v>
      </c>
    </row>
    <row r="52" spans="1:13">
      <c r="A52" s="99" t="s">
        <v>4886</v>
      </c>
      <c r="B52" s="113">
        <v>-195330</v>
      </c>
      <c r="C52" s="99" t="s">
        <v>4892</v>
      </c>
      <c r="D52" s="99">
        <v>1</v>
      </c>
      <c r="E52" s="99">
        <f t="shared" si="9"/>
        <v>7</v>
      </c>
      <c r="F52" s="99">
        <f t="shared" si="10"/>
        <v>0</v>
      </c>
      <c r="G52" s="99">
        <f t="shared" si="11"/>
        <v>-1367310</v>
      </c>
    </row>
    <row r="53" spans="1:13">
      <c r="A53" s="99" t="s">
        <v>4895</v>
      </c>
      <c r="B53" s="113">
        <v>-140730</v>
      </c>
      <c r="C53" s="99" t="s">
        <v>4899</v>
      </c>
      <c r="D53" s="99">
        <v>1</v>
      </c>
      <c r="E53" s="99">
        <f t="shared" si="9"/>
        <v>6</v>
      </c>
      <c r="F53" s="99">
        <f t="shared" si="10"/>
        <v>0</v>
      </c>
      <c r="G53" s="99">
        <f t="shared" si="11"/>
        <v>-844380</v>
      </c>
    </row>
    <row r="54" spans="1:13">
      <c r="A54" s="99" t="s">
        <v>4897</v>
      </c>
      <c r="B54" s="113">
        <v>-4200</v>
      </c>
      <c r="C54" s="99" t="s">
        <v>1070</v>
      </c>
      <c r="D54" s="99">
        <v>0</v>
      </c>
      <c r="E54" s="99">
        <f t="shared" si="9"/>
        <v>5</v>
      </c>
      <c r="F54" s="99">
        <f t="shared" si="10"/>
        <v>0</v>
      </c>
      <c r="G54" s="99">
        <f t="shared" si="11"/>
        <v>-21000</v>
      </c>
    </row>
    <row r="55" spans="1:13">
      <c r="A55" s="99" t="s">
        <v>4897</v>
      </c>
      <c r="B55" s="113">
        <v>-66567</v>
      </c>
      <c r="C55" s="99" t="s">
        <v>4014</v>
      </c>
      <c r="D55" s="99">
        <v>4</v>
      </c>
      <c r="E55" s="99">
        <f t="shared" si="9"/>
        <v>5</v>
      </c>
      <c r="F55" s="99">
        <f t="shared" si="10"/>
        <v>0</v>
      </c>
      <c r="G55" s="99">
        <f t="shared" si="11"/>
        <v>-332835</v>
      </c>
    </row>
    <row r="56" spans="1:13">
      <c r="A56" s="99" t="s">
        <v>4901</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9" workbookViewId="0">
      <selection activeCell="H47" sqref="H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83200</v>
      </c>
      <c r="H29" s="11" t="s">
        <v>569</v>
      </c>
      <c r="I29" s="11">
        <v>165000</v>
      </c>
      <c r="J29" s="11" t="s">
        <v>564</v>
      </c>
    </row>
    <row r="30" spans="2:21">
      <c r="G30" s="11">
        <f t="shared" si="5"/>
        <v>48200</v>
      </c>
      <c r="H30" s="11" t="s">
        <v>570</v>
      </c>
      <c r="I30" s="11">
        <v>200000</v>
      </c>
      <c r="J30" s="11" t="s">
        <v>565</v>
      </c>
    </row>
    <row r="31" spans="2:21">
      <c r="G31" s="11">
        <f t="shared" si="5"/>
        <v>0</v>
      </c>
      <c r="H31" s="11" t="s">
        <v>4812</v>
      </c>
      <c r="I31" s="11">
        <v>248200</v>
      </c>
      <c r="J31" s="11" t="s">
        <v>477</v>
      </c>
    </row>
    <row r="32" spans="2:21">
      <c r="G32" s="11">
        <f>$I$47-I32</f>
        <v>63200</v>
      </c>
      <c r="H32" s="59" t="s">
        <v>794</v>
      </c>
      <c r="I32" s="11">
        <v>185000</v>
      </c>
      <c r="J32" s="11" t="s">
        <v>558</v>
      </c>
    </row>
    <row r="33" spans="6:23">
      <c r="G33" s="11">
        <f t="shared" si="5"/>
        <v>17200</v>
      </c>
      <c r="H33" s="11" t="s">
        <v>1103</v>
      </c>
      <c r="I33" s="11">
        <v>231000</v>
      </c>
      <c r="J33" s="11" t="s">
        <v>566</v>
      </c>
    </row>
    <row r="34" spans="6:23">
      <c r="G34" s="11">
        <f t="shared" si="5"/>
        <v>18200</v>
      </c>
      <c r="H34" s="11" t="s">
        <v>1040</v>
      </c>
      <c r="I34" s="11">
        <v>230000</v>
      </c>
      <c r="J34" s="11" t="s">
        <v>567</v>
      </c>
    </row>
    <row r="35" spans="6:23">
      <c r="G35" s="11">
        <f t="shared" si="5"/>
        <v>7600</v>
      </c>
      <c r="H35" s="11" t="s">
        <v>1103</v>
      </c>
      <c r="I35" s="11">
        <v>240600</v>
      </c>
      <c r="J35" s="11" t="s">
        <v>568</v>
      </c>
    </row>
    <row r="36" spans="6:23">
      <c r="F36" t="s">
        <v>25</v>
      </c>
      <c r="G36" s="11">
        <f t="shared" si="5"/>
        <v>29200</v>
      </c>
      <c r="H36" s="11" t="s">
        <v>642</v>
      </c>
      <c r="I36" s="11">
        <v>219000</v>
      </c>
      <c r="J36" s="11" t="s">
        <v>641</v>
      </c>
      <c r="O36" s="22"/>
    </row>
    <row r="37" spans="6:23">
      <c r="G37" s="11">
        <f t="shared" si="5"/>
        <v>30200</v>
      </c>
      <c r="H37" s="11" t="s">
        <v>651</v>
      </c>
      <c r="I37" s="11">
        <v>218000</v>
      </c>
      <c r="J37" s="11" t="s">
        <v>652</v>
      </c>
    </row>
    <row r="38" spans="6:23">
      <c r="G38" s="11">
        <f t="shared" si="5"/>
        <v>23700</v>
      </c>
      <c r="H38" s="11" t="s">
        <v>710</v>
      </c>
      <c r="I38" s="11">
        <v>224500</v>
      </c>
      <c r="J38" s="11" t="s">
        <v>709</v>
      </c>
      <c r="M38" s="25"/>
      <c r="N38" s="25"/>
      <c r="O38" s="25"/>
      <c r="P38" s="25"/>
      <c r="Q38" s="25"/>
      <c r="R38" s="25"/>
      <c r="S38" s="25"/>
      <c r="T38" s="25"/>
      <c r="U38" s="25"/>
      <c r="V38" s="25"/>
      <c r="W38" s="25"/>
    </row>
    <row r="39" spans="6:23">
      <c r="G39" s="11">
        <f t="shared" si="5"/>
        <v>58200</v>
      </c>
      <c r="H39" s="11" t="s">
        <v>744</v>
      </c>
      <c r="I39" s="11">
        <v>190000</v>
      </c>
      <c r="J39" s="11" t="s">
        <v>743</v>
      </c>
      <c r="M39" s="25"/>
      <c r="N39" s="25"/>
      <c r="O39" s="25"/>
      <c r="P39" s="25"/>
      <c r="Q39" s="25"/>
      <c r="R39" s="25"/>
      <c r="S39" s="25"/>
      <c r="T39" s="25"/>
      <c r="U39" s="25"/>
      <c r="V39" s="25"/>
      <c r="W39" s="25"/>
    </row>
    <row r="40" spans="6:23">
      <c r="G40" s="11">
        <f t="shared" si="5"/>
        <v>23200</v>
      </c>
      <c r="H40" s="11" t="s">
        <v>742</v>
      </c>
      <c r="I40" s="11">
        <v>225000</v>
      </c>
      <c r="J40" s="11" t="s">
        <v>741</v>
      </c>
      <c r="M40" s="25"/>
      <c r="N40" s="25"/>
      <c r="O40" s="25"/>
      <c r="P40" s="25"/>
      <c r="Q40" s="25"/>
      <c r="R40" s="25"/>
      <c r="S40" s="25"/>
      <c r="T40" s="25"/>
      <c r="U40" s="25"/>
      <c r="V40" s="25"/>
      <c r="W40" s="25"/>
    </row>
    <row r="41" spans="6:23">
      <c r="G41" s="11">
        <f t="shared" si="5"/>
        <v>17200</v>
      </c>
      <c r="H41" s="11" t="s">
        <v>1103</v>
      </c>
      <c r="I41" s="11">
        <v>231000</v>
      </c>
      <c r="J41" s="11" t="s">
        <v>781</v>
      </c>
      <c r="M41" s="25"/>
      <c r="N41" s="25"/>
      <c r="O41" s="71"/>
      <c r="P41" s="25"/>
      <c r="Q41" s="71"/>
      <c r="R41" s="71"/>
      <c r="S41" s="28"/>
      <c r="T41" s="28"/>
      <c r="U41" s="28"/>
      <c r="V41" s="28"/>
      <c r="W41" s="28"/>
    </row>
    <row r="42" spans="6:23">
      <c r="G42" s="11">
        <f>$I$47-I42</f>
        <v>32200</v>
      </c>
      <c r="H42" s="11" t="s">
        <v>782</v>
      </c>
      <c r="I42" s="11">
        <v>216000</v>
      </c>
      <c r="J42" s="11" t="s">
        <v>783</v>
      </c>
      <c r="M42" s="25"/>
      <c r="N42" s="25"/>
      <c r="O42" s="71"/>
      <c r="P42" s="25"/>
      <c r="Q42" s="71"/>
      <c r="R42" s="71"/>
      <c r="S42" s="28"/>
      <c r="T42" s="28"/>
      <c r="U42" s="25"/>
      <c r="V42" s="28"/>
      <c r="W42" s="28"/>
    </row>
    <row r="43" spans="6:23">
      <c r="G43" s="11">
        <f>$I$47-I43</f>
        <v>21200</v>
      </c>
      <c r="H43" s="11" t="s">
        <v>811</v>
      </c>
      <c r="I43" s="11">
        <v>227000</v>
      </c>
      <c r="J43" s="11" t="s">
        <v>812</v>
      </c>
      <c r="M43" s="25"/>
      <c r="N43" s="25"/>
      <c r="O43" s="25"/>
      <c r="P43" s="25"/>
      <c r="Q43" s="28"/>
      <c r="R43" s="25"/>
      <c r="S43" s="28"/>
      <c r="T43" s="25"/>
      <c r="U43" s="25"/>
      <c r="V43" s="25"/>
      <c r="W43" s="25"/>
    </row>
    <row r="44" spans="6:23">
      <c r="G44" s="11">
        <f>$I$47-I44</f>
        <v>19200</v>
      </c>
      <c r="H44" s="11" t="s">
        <v>874</v>
      </c>
      <c r="I44" s="11">
        <v>229000</v>
      </c>
      <c r="J44" s="11" t="s">
        <v>480</v>
      </c>
      <c r="M44" s="25"/>
      <c r="N44" s="25"/>
      <c r="O44" s="25"/>
      <c r="P44" s="25"/>
      <c r="Q44" s="25"/>
      <c r="R44" s="25"/>
      <c r="S44" s="25"/>
      <c r="T44" s="25"/>
      <c r="U44" s="25"/>
      <c r="V44" s="25"/>
      <c r="W44" s="25"/>
    </row>
    <row r="45" spans="6:23">
      <c r="G45" s="11">
        <f>$I$47-I45</f>
        <v>17200</v>
      </c>
      <c r="H45" s="11" t="s">
        <v>1103</v>
      </c>
      <c r="I45" s="11">
        <v>231000</v>
      </c>
      <c r="J45" s="11" t="s">
        <v>1102</v>
      </c>
      <c r="M45" s="25"/>
      <c r="N45" s="25"/>
      <c r="O45" s="25"/>
      <c r="P45" s="25"/>
      <c r="Q45" s="25"/>
      <c r="R45" s="25"/>
      <c r="S45" s="28"/>
      <c r="T45" s="25"/>
      <c r="U45" s="25"/>
      <c r="V45" s="25"/>
      <c r="W45" s="25"/>
    </row>
    <row r="46" spans="6:23">
      <c r="G46" s="11">
        <f>$I$47-I46</f>
        <v>0</v>
      </c>
      <c r="H46" s="11" t="s">
        <v>4812</v>
      </c>
      <c r="I46" s="11">
        <v>248200</v>
      </c>
      <c r="J46" s="11" t="s">
        <v>4822</v>
      </c>
      <c r="M46" s="25"/>
      <c r="N46" s="25"/>
      <c r="O46" s="25"/>
      <c r="P46" s="25"/>
      <c r="Q46" s="25"/>
      <c r="R46" s="25"/>
      <c r="S46" s="25"/>
      <c r="T46" s="25"/>
      <c r="U46" s="25"/>
      <c r="V46" s="25"/>
      <c r="W46" s="25"/>
    </row>
    <row r="47" spans="6:23">
      <c r="G47" s="11"/>
      <c r="H47" s="11"/>
      <c r="I47" s="11">
        <v>248200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workbookViewId="0">
      <selection activeCell="O24" sqref="O24"/>
    </sheetView>
  </sheetViews>
  <sheetFormatPr defaultRowHeight="15"/>
  <cols>
    <col min="1" max="1" width="15.42578125" bestFit="1" customWidth="1"/>
    <col min="2" max="2" width="16.140625" bestFit="1" customWidth="1"/>
    <col min="3" max="3" width="14.140625" bestFit="1" customWidth="1"/>
    <col min="4" max="4" width="16.140625" bestFit="1" customWidth="1"/>
    <col min="8" max="8" width="10.140625" customWidth="1"/>
    <col min="9" max="9" width="12" bestFit="1" customWidth="1"/>
    <col min="10" max="10" width="13.42578125" bestFit="1" customWidth="1"/>
    <col min="11" max="11" width="12" bestFit="1" customWidth="1"/>
    <col min="12" max="12" width="18.42578125" bestFit="1" customWidth="1"/>
    <col min="13" max="13" width="16" bestFit="1" customWidth="1"/>
    <col min="14" max="14" width="14.85546875" bestFit="1" customWidth="1"/>
    <col min="15" max="15" width="12.85546875" bestFit="1" customWidth="1"/>
  </cols>
  <sheetData>
    <row r="1" spans="1:18">
      <c r="A1" s="99" t="s">
        <v>4940</v>
      </c>
      <c r="B1" s="99" t="s">
        <v>4941</v>
      </c>
      <c r="C1" s="99" t="s">
        <v>4942</v>
      </c>
      <c r="D1" s="99" t="s">
        <v>4943</v>
      </c>
      <c r="E1" s="99" t="s">
        <v>4953</v>
      </c>
      <c r="F1" s="99" t="s">
        <v>4952</v>
      </c>
      <c r="G1" s="99" t="s">
        <v>4272</v>
      </c>
      <c r="H1" s="69" t="s">
        <v>5070</v>
      </c>
      <c r="K1" t="s">
        <v>4945</v>
      </c>
      <c r="L1" t="s">
        <v>4949</v>
      </c>
      <c r="M1" t="s">
        <v>4950</v>
      </c>
    </row>
    <row r="2" spans="1:18">
      <c r="A2" s="99" t="s">
        <v>4944</v>
      </c>
      <c r="B2" s="99">
        <v>1120643604</v>
      </c>
      <c r="C2" s="99">
        <v>830</v>
      </c>
      <c r="D2" s="99">
        <f>B2*C2/$K$2</f>
        <v>12.918530434999999</v>
      </c>
      <c r="E2" s="99"/>
      <c r="F2" s="99"/>
      <c r="G2" s="99">
        <v>4600</v>
      </c>
      <c r="H2" s="99">
        <f>B2*G2/$K$2</f>
        <v>71.596674699999994</v>
      </c>
      <c r="K2">
        <v>72000000000</v>
      </c>
      <c r="L2">
        <v>27308458109</v>
      </c>
      <c r="M2">
        <v>40500000000</v>
      </c>
    </row>
    <row r="3" spans="1:18">
      <c r="A3" s="146" t="s">
        <v>4946</v>
      </c>
      <c r="B3" s="146">
        <v>2605736250</v>
      </c>
      <c r="C3" s="146">
        <v>80</v>
      </c>
      <c r="D3" s="146">
        <f>B3*C3/$K$2</f>
        <v>2.8952624999999999</v>
      </c>
      <c r="E3" s="146"/>
      <c r="F3" s="146"/>
      <c r="G3" s="146">
        <v>1590</v>
      </c>
      <c r="H3" s="146">
        <f>B3*G3/$K$2</f>
        <v>57.543342187500002</v>
      </c>
      <c r="L3">
        <f>L2/M2</f>
        <v>0.67428291627160497</v>
      </c>
    </row>
    <row r="4" spans="1:18">
      <c r="A4" s="146" t="s">
        <v>4947</v>
      </c>
      <c r="B4" s="146">
        <v>560000000</v>
      </c>
      <c r="C4" s="146">
        <v>25</v>
      </c>
      <c r="D4" s="146">
        <f>B4*C4/$K$2</f>
        <v>0.19444444444444445</v>
      </c>
      <c r="E4" s="146"/>
      <c r="F4" s="146"/>
      <c r="G4" s="146">
        <v>216</v>
      </c>
      <c r="H4" s="146">
        <f>B4*G4/$K$2</f>
        <v>1.68</v>
      </c>
    </row>
    <row r="5" spans="1:18">
      <c r="A5" s="99" t="s">
        <v>4948</v>
      </c>
      <c r="B5" s="99">
        <v>15161250</v>
      </c>
      <c r="C5" s="99">
        <v>200</v>
      </c>
      <c r="D5" s="99">
        <f>B5*C5/$K$2</f>
        <v>4.211458333333333E-2</v>
      </c>
      <c r="E5" s="99"/>
      <c r="F5" s="99"/>
      <c r="G5" s="99">
        <v>1570</v>
      </c>
      <c r="H5" s="99">
        <f>B5*G5/$K$2</f>
        <v>0.33059947916666665</v>
      </c>
    </row>
    <row r="6" spans="1:18">
      <c r="A6" s="23"/>
      <c r="B6" s="23"/>
      <c r="C6" s="23"/>
      <c r="D6" s="23">
        <f>B6*C6/$K$2</f>
        <v>0</v>
      </c>
      <c r="E6" s="23"/>
      <c r="F6" s="23"/>
      <c r="G6" s="23"/>
      <c r="H6" s="99"/>
    </row>
    <row r="7" spans="1:18">
      <c r="A7" s="99" t="s">
        <v>4944</v>
      </c>
      <c r="B7" s="99">
        <v>1124709340</v>
      </c>
      <c r="C7" s="99">
        <f>C2</f>
        <v>830</v>
      </c>
      <c r="D7" s="99">
        <f t="shared" ref="D7:D19" si="0">B7*C7*$L$3/$K$2</f>
        <v>8.7423472749789308</v>
      </c>
      <c r="E7" s="99">
        <v>0</v>
      </c>
      <c r="F7" s="99">
        <f t="shared" ref="F7:F19" si="1">B7*E7*$L$3/$K$2</f>
        <v>0</v>
      </c>
      <c r="G7" s="99">
        <f>G2</f>
        <v>4600</v>
      </c>
      <c r="H7" s="99">
        <f t="shared" ref="H7:H15" si="2">B7*G7*$L$3/$K$2</f>
        <v>48.451563210726604</v>
      </c>
    </row>
    <row r="8" spans="1:18">
      <c r="A8" s="99" t="s">
        <v>4951</v>
      </c>
      <c r="B8" s="99">
        <v>555409765</v>
      </c>
      <c r="C8" s="99">
        <v>0</v>
      </c>
      <c r="D8" s="99">
        <f t="shared" si="0"/>
        <v>0</v>
      </c>
      <c r="E8" s="99">
        <v>300</v>
      </c>
      <c r="F8" s="99">
        <f t="shared" si="1"/>
        <v>1.5604304836246949</v>
      </c>
      <c r="G8" s="99">
        <v>3900</v>
      </c>
      <c r="H8" s="99">
        <f t="shared" si="2"/>
        <v>20.285596287121034</v>
      </c>
    </row>
    <row r="9" spans="1:18">
      <c r="A9" s="99" t="s">
        <v>4948</v>
      </c>
      <c r="B9" s="99">
        <v>2103087537</v>
      </c>
      <c r="C9" s="99">
        <v>200</v>
      </c>
      <c r="D9" s="99">
        <f t="shared" si="0"/>
        <v>3.9390999933967414</v>
      </c>
      <c r="E9" s="99"/>
      <c r="F9" s="99">
        <f t="shared" si="1"/>
        <v>0</v>
      </c>
      <c r="G9" s="99">
        <f>G5</f>
        <v>1570</v>
      </c>
      <c r="H9" s="99">
        <f t="shared" si="2"/>
        <v>30.921934948164424</v>
      </c>
      <c r="J9" t="s">
        <v>25</v>
      </c>
    </row>
    <row r="10" spans="1:18">
      <c r="A10" s="99" t="s">
        <v>4954</v>
      </c>
      <c r="B10" s="99">
        <v>4123527587</v>
      </c>
      <c r="C10" s="99">
        <v>400</v>
      </c>
      <c r="D10" s="99">
        <f t="shared" si="0"/>
        <v>15.44680114827097</v>
      </c>
      <c r="E10" s="99"/>
      <c r="F10" s="99">
        <f t="shared" si="1"/>
        <v>0</v>
      </c>
      <c r="G10" s="99">
        <v>1750</v>
      </c>
      <c r="H10" s="99">
        <f t="shared" si="2"/>
        <v>67.579755023685493</v>
      </c>
    </row>
    <row r="11" spans="1:18">
      <c r="A11" s="99" t="s">
        <v>4955</v>
      </c>
      <c r="B11" s="99">
        <v>2635379034</v>
      </c>
      <c r="C11" s="99">
        <v>85</v>
      </c>
      <c r="D11" s="99">
        <f t="shared" si="0"/>
        <v>2.097836668677195</v>
      </c>
      <c r="E11" s="99"/>
      <c r="F11" s="99">
        <f t="shared" si="1"/>
        <v>0</v>
      </c>
      <c r="G11" s="99">
        <v>880</v>
      </c>
      <c r="H11" s="99">
        <f t="shared" si="2"/>
        <v>21.718779628658019</v>
      </c>
    </row>
    <row r="12" spans="1:18">
      <c r="A12" s="99" t="s">
        <v>4956</v>
      </c>
      <c r="B12" s="99">
        <v>1886721602</v>
      </c>
      <c r="C12" s="99">
        <v>350</v>
      </c>
      <c r="D12" s="99">
        <f t="shared" si="0"/>
        <v>6.1842284777252505</v>
      </c>
      <c r="E12" s="99"/>
      <c r="F12" s="99">
        <f t="shared" si="1"/>
        <v>0</v>
      </c>
      <c r="G12" s="99">
        <v>2700</v>
      </c>
      <c r="H12" s="99">
        <f t="shared" si="2"/>
        <v>47.706905399594788</v>
      </c>
      <c r="M12" t="s">
        <v>5047</v>
      </c>
    </row>
    <row r="13" spans="1:18">
      <c r="A13" s="99" t="s">
        <v>4957</v>
      </c>
      <c r="B13" s="99">
        <v>1630533748</v>
      </c>
      <c r="C13" s="99">
        <v>120</v>
      </c>
      <c r="D13" s="99">
        <f t="shared" si="0"/>
        <v>1.832401751134517</v>
      </c>
      <c r="E13" s="99"/>
      <c r="F13" s="99">
        <f t="shared" si="1"/>
        <v>0</v>
      </c>
      <c r="G13" s="99">
        <v>948</v>
      </c>
      <c r="H13" s="99">
        <f t="shared" si="2"/>
        <v>14.475973833962685</v>
      </c>
      <c r="M13" s="99" t="s">
        <v>180</v>
      </c>
      <c r="N13" s="99" t="s">
        <v>267</v>
      </c>
      <c r="O13" s="99" t="s">
        <v>5045</v>
      </c>
      <c r="P13" s="99"/>
      <c r="Q13" s="99"/>
      <c r="R13" s="99"/>
    </row>
    <row r="14" spans="1:18">
      <c r="A14" s="146" t="s">
        <v>4393</v>
      </c>
      <c r="B14" s="146">
        <v>813533684</v>
      </c>
      <c r="C14" s="146">
        <v>1460</v>
      </c>
      <c r="D14" s="146">
        <f t="shared" si="0"/>
        <v>11.123412816690907</v>
      </c>
      <c r="E14" s="146"/>
      <c r="F14" s="146">
        <f t="shared" si="1"/>
        <v>0</v>
      </c>
      <c r="G14" s="146">
        <v>5300</v>
      </c>
      <c r="H14" s="146">
        <f t="shared" si="2"/>
        <v>40.379512279768363</v>
      </c>
      <c r="M14" s="99" t="s">
        <v>5037</v>
      </c>
      <c r="N14" s="18">
        <v>7500000</v>
      </c>
      <c r="O14" s="99">
        <v>4</v>
      </c>
      <c r="P14" s="99"/>
      <c r="Q14" s="99"/>
      <c r="R14" s="99"/>
    </row>
    <row r="15" spans="1:18">
      <c r="A15" s="146" t="s">
        <v>4958</v>
      </c>
      <c r="B15" s="146">
        <v>236958025</v>
      </c>
      <c r="C15" s="146">
        <v>270</v>
      </c>
      <c r="D15" s="146">
        <f t="shared" si="0"/>
        <v>0.59916280549109957</v>
      </c>
      <c r="E15" s="146"/>
      <c r="F15" s="146">
        <f t="shared" si="1"/>
        <v>0</v>
      </c>
      <c r="G15" s="146">
        <v>1650</v>
      </c>
      <c r="H15" s="146">
        <f t="shared" si="2"/>
        <v>3.6615504780011641</v>
      </c>
      <c r="M15" s="99" t="s">
        <v>5044</v>
      </c>
      <c r="N15" s="18">
        <v>-500000</v>
      </c>
      <c r="O15" s="99">
        <v>7</v>
      </c>
      <c r="P15" s="99"/>
      <c r="Q15" s="99"/>
      <c r="R15" s="99"/>
    </row>
    <row r="16" spans="1:18">
      <c r="A16" s="99"/>
      <c r="B16" s="99"/>
      <c r="C16" s="99"/>
      <c r="D16" s="99">
        <f t="shared" si="0"/>
        <v>0</v>
      </c>
      <c r="E16" s="99"/>
      <c r="F16" s="99">
        <f t="shared" si="1"/>
        <v>0</v>
      </c>
      <c r="G16" s="99"/>
      <c r="H16" s="99"/>
      <c r="M16" s="99" t="s">
        <v>5056</v>
      </c>
      <c r="N16" s="18">
        <v>-7000000</v>
      </c>
      <c r="O16" s="99">
        <v>1</v>
      </c>
      <c r="P16" s="99"/>
      <c r="Q16" s="99"/>
      <c r="R16" s="99"/>
    </row>
    <row r="17" spans="1:18">
      <c r="A17" s="99"/>
      <c r="B17" s="99"/>
      <c r="C17" s="99"/>
      <c r="D17" s="99">
        <f t="shared" si="0"/>
        <v>0</v>
      </c>
      <c r="E17" s="99"/>
      <c r="F17" s="99">
        <f t="shared" si="1"/>
        <v>0</v>
      </c>
      <c r="G17" s="99"/>
      <c r="H17" s="99"/>
      <c r="M17" s="99" t="s">
        <v>5064</v>
      </c>
      <c r="N17" s="18">
        <v>2000000</v>
      </c>
      <c r="O17" s="99">
        <v>6</v>
      </c>
      <c r="P17" s="99"/>
      <c r="Q17" s="99"/>
      <c r="R17" s="99"/>
    </row>
    <row r="18" spans="1:18">
      <c r="A18" s="99"/>
      <c r="B18" s="99"/>
      <c r="C18" s="99"/>
      <c r="D18" s="99">
        <f t="shared" si="0"/>
        <v>0</v>
      </c>
      <c r="E18" s="99"/>
      <c r="F18" s="99">
        <f t="shared" si="1"/>
        <v>0</v>
      </c>
      <c r="G18" s="99"/>
      <c r="H18" s="99"/>
      <c r="M18" s="99" t="s">
        <v>5082</v>
      </c>
      <c r="N18" s="18">
        <v>1000000</v>
      </c>
      <c r="O18" s="99">
        <v>3</v>
      </c>
      <c r="P18" s="99"/>
      <c r="Q18" s="99"/>
      <c r="R18" s="99"/>
    </row>
    <row r="19" spans="1:18">
      <c r="A19" s="99"/>
      <c r="B19" s="99"/>
      <c r="C19" s="99"/>
      <c r="D19" s="99">
        <f t="shared" si="0"/>
        <v>0</v>
      </c>
      <c r="E19" s="99"/>
      <c r="F19" s="99">
        <f t="shared" si="1"/>
        <v>0</v>
      </c>
      <c r="G19" s="99"/>
      <c r="H19" s="99"/>
      <c r="M19" s="99" t="s">
        <v>5098</v>
      </c>
      <c r="N19" s="18">
        <v>200000</v>
      </c>
      <c r="O19" s="99">
        <v>3</v>
      </c>
      <c r="P19" s="99"/>
      <c r="Q19" s="99"/>
      <c r="R19" s="99"/>
    </row>
    <row r="20" spans="1:18">
      <c r="A20" s="99"/>
      <c r="B20" s="99"/>
      <c r="C20" s="99"/>
      <c r="D20" s="99"/>
      <c r="E20" s="99"/>
      <c r="F20" s="99"/>
      <c r="G20" s="99"/>
      <c r="H20" s="99"/>
      <c r="J20" t="s">
        <v>25</v>
      </c>
      <c r="M20" s="99" t="s">
        <v>5101</v>
      </c>
      <c r="N20" s="18">
        <v>-3200000</v>
      </c>
      <c r="O20" s="99">
        <v>6</v>
      </c>
      <c r="P20" s="99"/>
      <c r="Q20" s="99"/>
      <c r="R20" s="99"/>
    </row>
    <row r="21" spans="1:18">
      <c r="A21" s="99"/>
      <c r="B21" s="99"/>
      <c r="C21" s="99"/>
      <c r="D21" s="99">
        <f>SUM(D2:D15)</f>
        <v>66.015642899143387</v>
      </c>
      <c r="E21" s="99"/>
      <c r="F21" s="99"/>
      <c r="G21" s="99"/>
      <c r="H21" s="99">
        <f>SUM(H2:H19)</f>
        <v>426.33218745634923</v>
      </c>
      <c r="I21">
        <f>H21*0.8</f>
        <v>341.06574996507942</v>
      </c>
      <c r="M21" s="99" t="s">
        <v>5124</v>
      </c>
      <c r="N21" s="18">
        <v>6000000</v>
      </c>
      <c r="O21" s="99">
        <v>1</v>
      </c>
      <c r="P21" s="99"/>
      <c r="Q21" s="99"/>
      <c r="R21" s="99"/>
    </row>
    <row r="22" spans="1:18">
      <c r="A22" s="99"/>
      <c r="B22" s="99"/>
      <c r="C22" s="99"/>
      <c r="D22" s="99"/>
      <c r="E22" s="99"/>
      <c r="F22" s="99"/>
      <c r="G22" s="99"/>
      <c r="H22" s="99"/>
      <c r="M22" s="99" t="s">
        <v>5125</v>
      </c>
      <c r="N22" s="18">
        <v>2000000</v>
      </c>
      <c r="O22" s="99">
        <v>3</v>
      </c>
      <c r="P22" s="99"/>
      <c r="Q22" s="99"/>
      <c r="R22" s="99"/>
    </row>
    <row r="23" spans="1:18">
      <c r="A23" s="99"/>
      <c r="B23" s="99"/>
      <c r="C23" s="99"/>
      <c r="D23" s="99"/>
      <c r="E23" s="99"/>
      <c r="F23" s="99"/>
      <c r="G23" s="99"/>
      <c r="H23" s="99"/>
      <c r="M23" s="99" t="s">
        <v>5140</v>
      </c>
      <c r="N23" s="18">
        <v>-50000</v>
      </c>
      <c r="O23" s="99">
        <v>1</v>
      </c>
      <c r="P23" s="99"/>
      <c r="Q23" s="99"/>
      <c r="R23" s="99"/>
    </row>
    <row r="24" spans="1:18">
      <c r="A24" s="99"/>
      <c r="B24" s="99"/>
      <c r="C24" s="99"/>
      <c r="D24" s="99"/>
      <c r="E24" s="99"/>
      <c r="F24" s="99"/>
      <c r="G24" s="99"/>
      <c r="H24" s="99"/>
      <c r="M24" s="99"/>
      <c r="N24" s="18"/>
      <c r="O24" s="99"/>
      <c r="P24" s="99"/>
      <c r="Q24" s="99"/>
      <c r="R24" s="99"/>
    </row>
    <row r="25" spans="1:18">
      <c r="H25">
        <v>230</v>
      </c>
      <c r="I25">
        <f>H25/H21</f>
        <v>0.5394854218544054</v>
      </c>
      <c r="M25" s="99"/>
      <c r="N25" s="18"/>
      <c r="O25" s="99"/>
      <c r="P25" s="99"/>
      <c r="Q25" s="99"/>
      <c r="R25" s="99"/>
    </row>
    <row r="26" spans="1:18">
      <c r="M26" s="99"/>
      <c r="N26" s="18"/>
      <c r="O26" s="99"/>
      <c r="P26" s="99"/>
      <c r="Q26" s="99"/>
      <c r="R26" s="99"/>
    </row>
    <row r="27" spans="1:18">
      <c r="M27" s="99"/>
      <c r="N27" s="18"/>
      <c r="O27" s="99"/>
      <c r="P27" s="99"/>
      <c r="Q27" s="99"/>
      <c r="R27" s="99"/>
    </row>
    <row r="28" spans="1:18">
      <c r="M28" s="99"/>
      <c r="N28" s="18"/>
      <c r="O28" s="99"/>
      <c r="P28" s="99"/>
      <c r="Q28" s="99"/>
      <c r="R28" s="99"/>
    </row>
    <row r="29" spans="1:18">
      <c r="M29" s="99"/>
      <c r="N29" s="18">
        <f>SUM(N14:N28)</f>
        <v>7950000</v>
      </c>
      <c r="O29" s="99"/>
      <c r="P29" s="99"/>
      <c r="Q29" s="99"/>
      <c r="R29" s="99"/>
    </row>
    <row r="30" spans="1:18">
      <c r="B30" s="96"/>
      <c r="C30" s="96"/>
      <c r="D30" s="96"/>
      <c r="N30" t="s">
        <v>5046</v>
      </c>
    </row>
    <row r="31" spans="1:18">
      <c r="B31" s="96"/>
      <c r="C31" s="96"/>
      <c r="D31" s="96"/>
    </row>
    <row r="32" spans="1:18">
      <c r="B32" s="96"/>
      <c r="C32" s="96"/>
      <c r="D32" s="96"/>
    </row>
    <row r="33" spans="1:4">
      <c r="A33" s="96"/>
      <c r="B33" s="96"/>
      <c r="C33" s="96"/>
      <c r="D33" s="96"/>
    </row>
    <row r="34" spans="1:4">
      <c r="A34" s="96"/>
      <c r="B34" s="96"/>
      <c r="C34" s="96"/>
      <c r="D34" s="96"/>
    </row>
    <row r="35" spans="1:4">
      <c r="A35" s="96"/>
      <c r="B35" s="96"/>
      <c r="C35" s="96"/>
      <c r="D35" s="96"/>
    </row>
    <row r="36" spans="1:4">
      <c r="A36" s="96"/>
      <c r="B36" s="96"/>
      <c r="C36" s="96"/>
      <c r="D36" s="96"/>
    </row>
    <row r="37" spans="1:4">
      <c r="A37" s="96"/>
      <c r="B37" s="96"/>
      <c r="C37" s="96"/>
      <c r="D37" s="96"/>
    </row>
    <row r="38" spans="1:4">
      <c r="A38" s="96"/>
      <c r="B38" s="96"/>
      <c r="C38" s="96"/>
      <c r="D38" s="96"/>
    </row>
    <row r="39" spans="1:4">
      <c r="A39" s="96"/>
      <c r="B39" s="96"/>
      <c r="C39" s="96"/>
      <c r="D39" s="96"/>
    </row>
    <row r="40" spans="1:4">
      <c r="A40" s="96"/>
      <c r="B40" s="96"/>
      <c r="C40" s="96"/>
      <c r="D40" s="96"/>
    </row>
    <row r="41" spans="1:4">
      <c r="A41" s="96"/>
      <c r="B41" s="96"/>
      <c r="C41" s="96"/>
      <c r="D41" s="96"/>
    </row>
    <row r="42" spans="1:4">
      <c r="A42" s="96"/>
      <c r="B42" s="96"/>
      <c r="C42" s="96"/>
      <c r="D42" s="96"/>
    </row>
    <row r="43" spans="1:4">
      <c r="A43" s="96"/>
      <c r="B43" s="96"/>
      <c r="C43" s="96"/>
      <c r="D43" s="96"/>
    </row>
    <row r="44" spans="1:4">
      <c r="A44" s="96"/>
      <c r="B44" s="96"/>
      <c r="C44" s="96"/>
      <c r="D44" s="96"/>
    </row>
    <row r="45" spans="1:4">
      <c r="A45" s="96"/>
      <c r="B45" s="96"/>
      <c r="C45" s="96"/>
      <c r="D45" s="96"/>
    </row>
    <row r="46" spans="1:4">
      <c r="A46" s="96"/>
      <c r="B46" s="96"/>
      <c r="C46" s="96"/>
      <c r="D46" s="96"/>
    </row>
    <row r="47" spans="1:4">
      <c r="A47" s="96"/>
      <c r="B47" s="96"/>
      <c r="C47" s="96"/>
      <c r="D47" s="96"/>
    </row>
    <row r="48" spans="1:4">
      <c r="A48" s="96"/>
      <c r="B48" s="96"/>
      <c r="C48" s="96"/>
      <c r="D48" s="96"/>
    </row>
    <row r="49" spans="1:4">
      <c r="A49" s="96"/>
      <c r="B49" s="96"/>
      <c r="C49" s="96"/>
      <c r="D49" s="96"/>
    </row>
    <row r="50" spans="1:4">
      <c r="A50" s="96"/>
      <c r="B50" s="96"/>
      <c r="C50" s="96"/>
      <c r="D50" s="96"/>
    </row>
    <row r="51" spans="1:4">
      <c r="A51" s="96"/>
      <c r="B51" s="96"/>
      <c r="C51" s="96"/>
      <c r="D51" s="96"/>
    </row>
    <row r="52" spans="1:4">
      <c r="A52" s="96"/>
      <c r="B52" s="96"/>
      <c r="C52" s="96"/>
      <c r="D52" s="96"/>
    </row>
    <row r="53" spans="1:4">
      <c r="A53" s="96"/>
      <c r="B53" s="96"/>
      <c r="C53" s="96"/>
      <c r="D53" s="96"/>
    </row>
    <row r="54" spans="1:4">
      <c r="A54" s="96"/>
      <c r="B54" s="96"/>
      <c r="C54" s="96"/>
      <c r="D54" s="96"/>
    </row>
    <row r="55" spans="1:4">
      <c r="A55" s="96"/>
      <c r="B55" s="96"/>
      <c r="C55" s="96"/>
      <c r="D55" s="96"/>
    </row>
    <row r="56" spans="1:4">
      <c r="A56" s="96"/>
      <c r="B56" s="96"/>
      <c r="C56" s="96"/>
      <c r="D56" s="96"/>
    </row>
    <row r="57" spans="1:4">
      <c r="A57" s="96"/>
      <c r="B57" s="96"/>
      <c r="C57" s="96"/>
      <c r="D57" s="96"/>
    </row>
    <row r="58" spans="1:4">
      <c r="A58" s="96"/>
      <c r="B58" s="96"/>
      <c r="C58" s="96"/>
      <c r="D58" s="96"/>
    </row>
    <row r="59" spans="1:4">
      <c r="A59" s="96"/>
      <c r="B59" s="96"/>
      <c r="C59" s="96"/>
      <c r="D59" s="96"/>
    </row>
    <row r="60" spans="1:4">
      <c r="A60" s="96"/>
      <c r="B60" s="96"/>
      <c r="C60" s="96"/>
      <c r="D60" s="96"/>
    </row>
    <row r="61" spans="1:4">
      <c r="A61" s="96"/>
      <c r="B61" s="96"/>
      <c r="C61" s="96"/>
      <c r="D61" s="96"/>
    </row>
    <row r="62" spans="1:4">
      <c r="A62" s="96"/>
      <c r="B62" s="96"/>
      <c r="C62" s="96"/>
      <c r="D62" s="96"/>
    </row>
    <row r="63" spans="1:4">
      <c r="A63" s="96"/>
      <c r="B63" s="96"/>
      <c r="C63" s="96"/>
      <c r="D63" s="96"/>
    </row>
    <row r="64" spans="1:4">
      <c r="A64" s="96"/>
      <c r="B64" s="96"/>
      <c r="C64" s="96"/>
      <c r="D64" s="96"/>
    </row>
    <row r="65" spans="1:4">
      <c r="A65" s="96"/>
      <c r="B65" s="96"/>
      <c r="C65" s="96"/>
      <c r="D65" s="96"/>
    </row>
    <row r="66" spans="1:4">
      <c r="A66" s="96"/>
      <c r="B66" s="96"/>
      <c r="C66" s="96"/>
      <c r="D66" s="96"/>
    </row>
    <row r="67" spans="1:4">
      <c r="A67" s="96"/>
      <c r="B67" s="96"/>
      <c r="C67" s="96"/>
      <c r="D67" s="96"/>
    </row>
    <row r="68" spans="1:4">
      <c r="A68" s="96"/>
      <c r="B68" s="96"/>
      <c r="C68" s="96"/>
      <c r="D68" s="96"/>
    </row>
    <row r="69" spans="1:4">
      <c r="A69" s="96"/>
      <c r="B69" s="96"/>
      <c r="C69" s="96"/>
      <c r="D69" s="96"/>
    </row>
    <row r="70" spans="1:4">
      <c r="A70" s="96"/>
      <c r="B70" s="96"/>
      <c r="C70" s="96"/>
      <c r="D70" s="96"/>
    </row>
    <row r="71" spans="1:4">
      <c r="A71" s="96"/>
      <c r="B71" s="96"/>
      <c r="C71" s="96"/>
      <c r="D71" s="96"/>
    </row>
    <row r="72" spans="1:4">
      <c r="A72" s="96"/>
      <c r="B72" s="96"/>
      <c r="C72" s="96"/>
      <c r="D72" s="96"/>
    </row>
    <row r="73" spans="1:4">
      <c r="A73" s="96"/>
      <c r="B73" s="96"/>
      <c r="C73" s="96"/>
      <c r="D73" s="96"/>
    </row>
    <row r="74" spans="1:4">
      <c r="A74" s="96"/>
      <c r="B74" s="96"/>
      <c r="C74" s="96"/>
      <c r="D74" s="96"/>
    </row>
    <row r="75" spans="1:4">
      <c r="A75" s="96"/>
      <c r="B75" s="96"/>
      <c r="C75" s="96"/>
      <c r="D75" s="96"/>
    </row>
    <row r="76" spans="1:4">
      <c r="A76" s="96"/>
      <c r="B76" s="96"/>
      <c r="C76" s="96"/>
      <c r="D76" s="96"/>
    </row>
    <row r="77" spans="1:4">
      <c r="A77" s="96"/>
      <c r="B77" s="96"/>
      <c r="C77" s="96"/>
      <c r="D77" s="96"/>
    </row>
    <row r="78" spans="1:4">
      <c r="A78" s="96"/>
      <c r="B78" s="96"/>
      <c r="C78" s="96"/>
      <c r="D78" s="96"/>
    </row>
    <row r="79" spans="1:4">
      <c r="A79" s="96"/>
      <c r="B79" s="96"/>
      <c r="C79" s="96"/>
      <c r="D79" s="96"/>
    </row>
    <row r="80" spans="1:4">
      <c r="A80" s="96"/>
      <c r="B80" s="96"/>
      <c r="C80" s="96"/>
      <c r="D80" s="9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4538</v>
      </c>
      <c r="B1" t="s">
        <v>950</v>
      </c>
      <c r="C1" t="s">
        <v>4594</v>
      </c>
      <c r="D1" t="s">
        <v>4921</v>
      </c>
      <c r="E1" t="s">
        <v>4922</v>
      </c>
      <c r="F1" t="s">
        <v>8</v>
      </c>
    </row>
    <row r="2" spans="1:6">
      <c r="A2" t="s">
        <v>4925</v>
      </c>
      <c r="B2">
        <v>237</v>
      </c>
      <c r="C2">
        <v>281</v>
      </c>
      <c r="D2">
        <f>B2/C2</f>
        <v>0.84341637010676151</v>
      </c>
      <c r="E2" t="s">
        <v>4926</v>
      </c>
      <c r="F2" t="s">
        <v>4927</v>
      </c>
    </row>
    <row r="3" spans="1:6">
      <c r="A3" t="s">
        <v>4536</v>
      </c>
      <c r="B3">
        <v>134</v>
      </c>
      <c r="C3">
        <v>193</v>
      </c>
      <c r="D3" s="96">
        <f t="shared" ref="D3:D21" si="0">B3/C3</f>
        <v>0.69430051813471505</v>
      </c>
      <c r="E3" t="s">
        <v>4926</v>
      </c>
      <c r="F3" s="96" t="s">
        <v>4927</v>
      </c>
    </row>
    <row r="4" spans="1:6">
      <c r="A4" t="s">
        <v>4928</v>
      </c>
      <c r="B4">
        <v>195</v>
      </c>
      <c r="C4">
        <v>73</v>
      </c>
      <c r="D4" s="96">
        <f t="shared" si="0"/>
        <v>2.6712328767123288</v>
      </c>
      <c r="E4" t="s">
        <v>4929</v>
      </c>
      <c r="F4" t="s">
        <v>4930</v>
      </c>
    </row>
    <row r="5" spans="1:6">
      <c r="A5" t="s">
        <v>4931</v>
      </c>
      <c r="B5">
        <v>1</v>
      </c>
      <c r="C5">
        <v>1</v>
      </c>
      <c r="D5" s="96">
        <f t="shared" si="0"/>
        <v>1</v>
      </c>
      <c r="E5" t="s">
        <v>4929</v>
      </c>
      <c r="F5" t="s">
        <v>4932</v>
      </c>
    </row>
    <row r="6" spans="1:6">
      <c r="A6" t="s">
        <v>4577</v>
      </c>
      <c r="B6">
        <v>163</v>
      </c>
      <c r="C6">
        <v>232</v>
      </c>
      <c r="D6" s="96">
        <f t="shared" si="0"/>
        <v>0.70258620689655171</v>
      </c>
      <c r="F6" s="96" t="s">
        <v>4927</v>
      </c>
    </row>
    <row r="7" spans="1:6">
      <c r="A7" t="s">
        <v>4933</v>
      </c>
      <c r="B7">
        <v>247</v>
      </c>
      <c r="C7">
        <v>250</v>
      </c>
      <c r="D7" s="96">
        <f t="shared" si="0"/>
        <v>0.98799999999999999</v>
      </c>
    </row>
    <row r="8" spans="1:6">
      <c r="A8" t="s">
        <v>4934</v>
      </c>
      <c r="B8">
        <v>335</v>
      </c>
      <c r="C8">
        <v>141</v>
      </c>
      <c r="D8" s="96">
        <f t="shared" si="0"/>
        <v>2.375886524822695</v>
      </c>
      <c r="F8" s="96" t="s">
        <v>4932</v>
      </c>
    </row>
    <row r="9" spans="1:6">
      <c r="A9" t="s">
        <v>4811</v>
      </c>
      <c r="B9">
        <v>150</v>
      </c>
      <c r="C9">
        <v>240</v>
      </c>
      <c r="D9" s="96">
        <f t="shared" si="0"/>
        <v>0.625</v>
      </c>
      <c r="F9" t="s">
        <v>4935</v>
      </c>
    </row>
    <row r="10" spans="1:6">
      <c r="A10" t="s">
        <v>4936</v>
      </c>
      <c r="B10">
        <v>187</v>
      </c>
      <c r="C10">
        <v>208</v>
      </c>
      <c r="D10" s="96">
        <f t="shared" si="0"/>
        <v>0.89903846153846156</v>
      </c>
      <c r="F10" t="s">
        <v>4926</v>
      </c>
    </row>
    <row r="11" spans="1:6">
      <c r="A11" t="s">
        <v>4937</v>
      </c>
      <c r="B11">
        <v>412</v>
      </c>
      <c r="C11">
        <v>183</v>
      </c>
      <c r="D11" s="96">
        <f t="shared" si="0"/>
        <v>2.2513661202185791</v>
      </c>
      <c r="F11" s="96" t="s">
        <v>4932</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4920</v>
      </c>
      <c r="B21">
        <v>113</v>
      </c>
      <c r="C21">
        <v>215</v>
      </c>
      <c r="D21" s="96">
        <f t="shared" si="0"/>
        <v>0.52558139534883719</v>
      </c>
      <c r="E21" t="s">
        <v>4923</v>
      </c>
      <c r="F21" t="s">
        <v>4924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A48" workbookViewId="0">
      <selection activeCell="E70" sqref="E70"/>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4865</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4867</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4864</v>
      </c>
      <c r="B4" s="18">
        <v>-960200</v>
      </c>
      <c r="C4" s="18">
        <v>0</v>
      </c>
      <c r="D4" s="113">
        <f t="shared" si="0"/>
        <v>-960200</v>
      </c>
      <c r="E4" s="99" t="s">
        <v>4868</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4769</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4769</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4769</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4777</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4777</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4777</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4781</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4782</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4782</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4787</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4787</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4801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4825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4834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4838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4838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4838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4840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4840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4841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4841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4846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4855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4855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4855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4622</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4869</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4866</v>
      </c>
      <c r="F42" s="96"/>
      <c r="G42" s="96"/>
      <c r="H42" s="96"/>
      <c r="I42" s="96"/>
      <c r="J42" s="96"/>
      <c r="K42" s="96"/>
      <c r="L42" s="96"/>
      <c r="M42" s="96"/>
      <c r="N42" s="96"/>
      <c r="O42" s="96"/>
      <c r="P42" s="96"/>
      <c r="Q42" s="96"/>
      <c r="R42" s="96"/>
      <c r="S42" s="96"/>
      <c r="T42" s="96"/>
      <c r="U42" s="96"/>
    </row>
    <row r="43" spans="1:21">
      <c r="A43" s="96"/>
      <c r="B43" s="96"/>
      <c r="C43" s="96"/>
      <c r="D43" s="18">
        <v>252830</v>
      </c>
      <c r="E43" s="122" t="s">
        <v>4871</v>
      </c>
      <c r="F43" s="96"/>
      <c r="G43" s="96"/>
      <c r="H43" s="96"/>
      <c r="I43" s="96"/>
      <c r="J43" s="96"/>
      <c r="K43" s="96"/>
      <c r="L43" s="96"/>
      <c r="M43" s="96"/>
      <c r="N43" s="96"/>
      <c r="O43" s="96"/>
      <c r="P43" s="96"/>
      <c r="Q43" s="96"/>
      <c r="R43" s="96"/>
      <c r="S43" s="96"/>
      <c r="T43" s="96"/>
      <c r="U43" s="96"/>
    </row>
    <row r="44" spans="1:21">
      <c r="A44" s="96"/>
      <c r="B44" s="96"/>
      <c r="C44" s="96"/>
      <c r="D44" s="18">
        <v>178820</v>
      </c>
      <c r="E44" s="122" t="s">
        <v>4875</v>
      </c>
      <c r="F44" s="96"/>
      <c r="G44" s="96"/>
      <c r="H44" s="96"/>
      <c r="I44" s="96"/>
      <c r="J44" s="96"/>
      <c r="K44" s="96"/>
      <c r="L44" s="96"/>
      <c r="M44" s="96"/>
      <c r="N44" s="96"/>
      <c r="O44" s="96"/>
      <c r="P44" s="96"/>
      <c r="Q44" s="96"/>
      <c r="R44" s="96"/>
      <c r="S44" s="96"/>
      <c r="T44" s="96"/>
      <c r="U44" s="96"/>
    </row>
    <row r="45" spans="1:21">
      <c r="A45" s="96"/>
      <c r="B45" s="96"/>
      <c r="C45" s="96"/>
      <c r="D45" s="18">
        <v>382000</v>
      </c>
      <c r="E45" s="122" t="s">
        <v>4883</v>
      </c>
      <c r="F45" s="96"/>
      <c r="G45" s="96"/>
      <c r="H45" s="96"/>
      <c r="I45" s="96"/>
      <c r="J45" s="96"/>
      <c r="K45" s="96"/>
      <c r="L45" s="96"/>
      <c r="M45" s="96"/>
      <c r="N45" s="96"/>
      <c r="O45" s="96"/>
      <c r="P45" s="96"/>
      <c r="Q45" s="96"/>
      <c r="R45" s="96"/>
      <c r="S45" s="96"/>
      <c r="T45" s="96"/>
      <c r="U45" s="96"/>
    </row>
    <row r="46" spans="1:21">
      <c r="A46" s="96"/>
      <c r="B46" s="96"/>
      <c r="C46" s="96"/>
      <c r="D46" s="18">
        <v>-200000</v>
      </c>
      <c r="E46" s="122" t="s">
        <v>4884</v>
      </c>
      <c r="F46" s="96"/>
      <c r="G46" s="96"/>
      <c r="H46" s="96"/>
      <c r="I46" s="96"/>
      <c r="J46" s="96"/>
      <c r="K46" s="96"/>
      <c r="L46" s="96"/>
      <c r="M46" s="96"/>
      <c r="N46" s="96"/>
      <c r="O46" s="96"/>
      <c r="P46" s="96"/>
      <c r="Q46" s="96"/>
      <c r="R46" s="96"/>
      <c r="S46" s="96"/>
      <c r="T46" s="96"/>
      <c r="U46" s="96"/>
    </row>
    <row r="47" spans="1:21">
      <c r="A47" s="96"/>
      <c r="B47" s="96"/>
      <c r="C47" s="96"/>
      <c r="D47" s="18">
        <v>-2336075</v>
      </c>
      <c r="E47" s="122" t="s">
        <v>4888</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4891</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4900</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4902</v>
      </c>
      <c r="F50" s="96"/>
      <c r="G50" s="96"/>
      <c r="H50" s="96"/>
      <c r="I50" s="96"/>
      <c r="J50" s="96"/>
      <c r="K50" s="96"/>
      <c r="L50" s="96"/>
      <c r="M50" s="96"/>
      <c r="N50" s="96"/>
      <c r="O50" s="96"/>
      <c r="P50" s="96"/>
      <c r="Q50" s="96"/>
      <c r="R50" s="96"/>
      <c r="S50" s="96"/>
      <c r="T50" s="96"/>
      <c r="U50" s="96"/>
    </row>
    <row r="51" spans="1:21">
      <c r="A51" s="96"/>
      <c r="B51" s="96"/>
      <c r="C51" s="96"/>
      <c r="D51" s="18">
        <v>-40000</v>
      </c>
      <c r="E51" s="122" t="s">
        <v>4903</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4916</v>
      </c>
      <c r="F52" s="96"/>
      <c r="G52" s="96"/>
      <c r="H52" s="96"/>
      <c r="I52" s="96"/>
      <c r="J52" s="96"/>
      <c r="K52" s="96"/>
      <c r="L52" s="96"/>
      <c r="M52" s="96"/>
      <c r="N52" s="96"/>
      <c r="O52" s="96"/>
      <c r="P52" s="96"/>
      <c r="Q52" s="96"/>
      <c r="R52" s="96"/>
      <c r="S52" s="96"/>
      <c r="T52" s="96"/>
      <c r="U52" s="96"/>
    </row>
    <row r="53" spans="1:21">
      <c r="A53" s="96"/>
      <c r="B53" s="96"/>
      <c r="C53" s="96"/>
      <c r="D53" s="18">
        <v>160000</v>
      </c>
      <c r="E53" s="122" t="s">
        <v>4919</v>
      </c>
      <c r="F53" s="96"/>
      <c r="G53" s="96"/>
      <c r="H53" s="96"/>
      <c r="I53" s="96"/>
      <c r="J53" s="96"/>
      <c r="K53" s="96"/>
      <c r="L53" s="96"/>
      <c r="M53" s="96"/>
      <c r="N53" s="96"/>
      <c r="O53" s="96"/>
      <c r="P53" s="96"/>
      <c r="Q53" s="96"/>
      <c r="R53" s="96"/>
      <c r="S53" s="96"/>
      <c r="T53" s="96"/>
      <c r="U53" s="96"/>
    </row>
    <row r="54" spans="1:21">
      <c r="A54" s="96"/>
      <c r="B54" s="96"/>
      <c r="C54" s="96"/>
      <c r="D54" s="18">
        <v>-224012</v>
      </c>
      <c r="E54" s="122" t="s">
        <v>4959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4960</v>
      </c>
      <c r="F55" s="114"/>
      <c r="G55" s="41"/>
      <c r="H55" s="96"/>
      <c r="I55" s="96"/>
      <c r="J55" s="96"/>
      <c r="K55" s="96"/>
      <c r="L55" s="96"/>
      <c r="M55" s="96"/>
      <c r="N55" s="96"/>
      <c r="O55" s="96"/>
      <c r="P55" s="96"/>
      <c r="Q55" s="96"/>
      <c r="R55" s="96"/>
      <c r="S55" s="96"/>
      <c r="T55" s="96"/>
      <c r="U55" s="96"/>
    </row>
    <row r="56" spans="1:21">
      <c r="A56" s="96"/>
      <c r="B56" s="96"/>
      <c r="C56" s="96"/>
      <c r="D56" s="18">
        <v>1465000</v>
      </c>
      <c r="E56" s="122" t="s">
        <v>4968</v>
      </c>
      <c r="F56" s="114"/>
      <c r="G56" s="41"/>
      <c r="H56" s="96"/>
      <c r="I56" s="96"/>
      <c r="J56" s="96"/>
      <c r="K56" s="96"/>
      <c r="L56" s="96"/>
      <c r="M56" s="96"/>
      <c r="N56" s="96"/>
      <c r="O56" s="96"/>
      <c r="P56" s="96"/>
      <c r="Q56" s="96"/>
      <c r="R56" s="96"/>
      <c r="S56" s="96"/>
      <c r="T56" s="96"/>
      <c r="U56" s="96"/>
    </row>
    <row r="57" spans="1:21">
      <c r="A57" s="96"/>
      <c r="B57" s="96"/>
      <c r="C57" s="96"/>
      <c r="D57" s="18">
        <v>2600000</v>
      </c>
      <c r="E57" s="122" t="s">
        <v>5010</v>
      </c>
      <c r="F57" s="114"/>
      <c r="G57" s="41"/>
      <c r="H57" s="96"/>
      <c r="I57" s="96"/>
      <c r="J57" s="96"/>
      <c r="K57" s="96"/>
      <c r="L57" s="96"/>
      <c r="M57" s="96"/>
      <c r="N57" s="96"/>
      <c r="O57" s="96"/>
      <c r="P57" s="96"/>
      <c r="Q57" s="96"/>
      <c r="R57" s="96"/>
      <c r="S57" s="96"/>
      <c r="T57" s="96"/>
      <c r="U57" s="96"/>
    </row>
    <row r="58" spans="1:21">
      <c r="A58" s="96"/>
      <c r="B58" s="96"/>
      <c r="C58" s="96"/>
      <c r="D58" s="18">
        <v>-1170000</v>
      </c>
      <c r="E58" s="122" t="s">
        <v>5022</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5021</v>
      </c>
      <c r="F59" s="114"/>
      <c r="G59" s="96"/>
      <c r="H59" s="96"/>
      <c r="I59" s="96"/>
      <c r="J59" s="96"/>
      <c r="K59" s="96"/>
      <c r="L59" s="96"/>
      <c r="M59" s="96"/>
      <c r="N59" s="96"/>
      <c r="O59" s="96"/>
      <c r="P59" s="96"/>
      <c r="Q59" s="96"/>
      <c r="R59" s="96"/>
      <c r="S59" s="96"/>
      <c r="T59" s="96"/>
      <c r="U59" s="96"/>
    </row>
    <row r="60" spans="1:21">
      <c r="A60" s="96"/>
      <c r="B60" s="96"/>
      <c r="C60" s="96"/>
      <c r="D60" s="18">
        <v>360000</v>
      </c>
      <c r="E60" s="122" t="s">
        <v>5033</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5062</v>
      </c>
      <c r="F61" s="96"/>
      <c r="G61" s="96"/>
      <c r="H61" s="96"/>
      <c r="I61" s="96"/>
      <c r="J61" s="96"/>
      <c r="K61" s="96"/>
      <c r="L61" s="96"/>
      <c r="M61" s="96"/>
      <c r="N61" s="96"/>
      <c r="O61" s="96"/>
      <c r="P61" s="96"/>
      <c r="Q61" s="96"/>
      <c r="R61" s="96"/>
      <c r="S61" s="96"/>
      <c r="T61" s="96"/>
      <c r="U61" s="96"/>
    </row>
    <row r="62" spans="1:21">
      <c r="A62" s="96"/>
      <c r="B62" s="96"/>
      <c r="C62" s="96"/>
      <c r="D62" s="18">
        <v>-550000</v>
      </c>
      <c r="E62" s="256" t="s">
        <v>5065</v>
      </c>
      <c r="F62" s="96"/>
      <c r="G62" s="96"/>
      <c r="H62" s="96"/>
      <c r="I62" s="96"/>
      <c r="J62" s="96"/>
      <c r="K62" s="96"/>
      <c r="L62" s="96"/>
      <c r="M62" s="96"/>
      <c r="N62" s="96"/>
      <c r="O62" s="96"/>
      <c r="P62" s="96"/>
      <c r="Q62" s="96"/>
      <c r="R62" s="96"/>
      <c r="S62" s="96"/>
      <c r="T62" s="96"/>
      <c r="U62" s="96"/>
    </row>
    <row r="63" spans="1:21">
      <c r="A63" s="96"/>
      <c r="B63" s="96"/>
      <c r="C63" s="96"/>
      <c r="D63" s="18">
        <v>-850000</v>
      </c>
      <c r="E63" s="256" t="s">
        <v>5074</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5078</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5083</v>
      </c>
      <c r="F65" s="96"/>
      <c r="G65" s="96"/>
      <c r="H65" s="96"/>
      <c r="I65" s="96"/>
      <c r="J65" s="96"/>
      <c r="K65" s="96"/>
      <c r="L65" s="96"/>
      <c r="M65" s="96"/>
      <c r="N65" s="96"/>
      <c r="O65" s="96"/>
      <c r="P65" s="96"/>
      <c r="Q65" s="96"/>
      <c r="R65" s="96"/>
      <c r="S65" s="96"/>
      <c r="T65" s="96"/>
      <c r="U65" s="96"/>
    </row>
    <row r="66" spans="1:21">
      <c r="A66" s="96"/>
      <c r="B66" s="96"/>
      <c r="C66" s="96"/>
      <c r="D66" s="18">
        <v>-2290500</v>
      </c>
      <c r="E66" s="256" t="s">
        <v>5084</v>
      </c>
      <c r="F66" s="96"/>
      <c r="G66" s="96"/>
      <c r="H66" s="96"/>
      <c r="I66" s="96"/>
      <c r="J66" s="96"/>
      <c r="K66" s="96"/>
      <c r="L66" s="96"/>
      <c r="M66" s="96"/>
      <c r="N66" s="96"/>
      <c r="O66" s="96"/>
      <c r="P66" s="96"/>
      <c r="Q66" s="96"/>
      <c r="R66" s="96"/>
      <c r="S66" s="96"/>
      <c r="T66" s="96"/>
      <c r="U66" s="96"/>
    </row>
    <row r="67" spans="1:21">
      <c r="A67" s="96"/>
      <c r="B67" s="96"/>
      <c r="C67" s="96"/>
      <c r="D67" s="18">
        <v>1700000</v>
      </c>
      <c r="E67" s="256" t="s">
        <v>5100</v>
      </c>
      <c r="F67" s="96"/>
      <c r="G67" s="96"/>
      <c r="H67" s="96"/>
      <c r="I67" s="96"/>
      <c r="J67" s="96"/>
      <c r="K67" s="96"/>
      <c r="L67" s="96"/>
      <c r="M67" s="96"/>
      <c r="N67" s="96"/>
      <c r="O67" s="96"/>
      <c r="P67" s="96"/>
      <c r="Q67" s="96"/>
      <c r="R67" s="96"/>
      <c r="S67" s="96"/>
      <c r="T67" s="96"/>
      <c r="U67" s="96"/>
    </row>
    <row r="68" spans="1:21">
      <c r="A68" s="96"/>
      <c r="B68" s="96"/>
      <c r="C68" s="96"/>
      <c r="D68" s="18">
        <v>-150000</v>
      </c>
      <c r="E68" s="256" t="s">
        <v>5108</v>
      </c>
      <c r="F68" s="96"/>
      <c r="G68" s="96"/>
      <c r="H68" s="96"/>
      <c r="I68" s="96"/>
      <c r="J68" s="96"/>
      <c r="K68" s="96"/>
      <c r="L68" s="96"/>
      <c r="M68" s="96"/>
      <c r="N68" s="96"/>
      <c r="O68" s="96"/>
      <c r="P68" s="96"/>
      <c r="Q68" s="96"/>
      <c r="R68" s="96"/>
      <c r="S68" s="96"/>
      <c r="T68" s="96"/>
      <c r="U68" s="96"/>
    </row>
    <row r="69" spans="1:21">
      <c r="A69" s="96"/>
      <c r="B69" s="96"/>
      <c r="C69" s="96"/>
      <c r="D69" s="18">
        <v>-550000</v>
      </c>
      <c r="E69" s="256" t="s">
        <v>5115</v>
      </c>
      <c r="F69" s="96"/>
      <c r="G69" s="96"/>
      <c r="H69" s="96"/>
      <c r="I69" s="96"/>
      <c r="J69" s="96"/>
      <c r="K69" s="96"/>
      <c r="L69" s="96"/>
      <c r="M69" s="96"/>
      <c r="N69" s="96"/>
      <c r="O69" s="96"/>
      <c r="P69" s="96"/>
      <c r="Q69" s="96"/>
      <c r="R69" s="96"/>
      <c r="S69" s="96"/>
      <c r="T69" s="96"/>
      <c r="U69" s="96"/>
    </row>
    <row r="70" spans="1:21">
      <c r="A70" s="96"/>
      <c r="B70" s="96"/>
      <c r="C70" s="96"/>
      <c r="D70" s="18"/>
      <c r="E70" s="256"/>
      <c r="F70" s="96"/>
      <c r="G70" s="96" t="s">
        <v>25</v>
      </c>
      <c r="H70" s="96"/>
      <c r="I70" s="96"/>
      <c r="J70" s="96"/>
      <c r="K70" s="96"/>
      <c r="L70" s="96"/>
      <c r="M70" s="96"/>
      <c r="N70" s="96"/>
      <c r="O70" s="96"/>
      <c r="P70" s="96"/>
      <c r="Q70" s="96"/>
      <c r="R70" s="96"/>
      <c r="S70" s="96"/>
      <c r="T70" s="96"/>
      <c r="U70" s="96"/>
    </row>
    <row r="71" spans="1:21">
      <c r="A71" s="96"/>
      <c r="B71" s="96"/>
      <c r="C71" s="96"/>
      <c r="D71" s="18"/>
      <c r="E71" s="96"/>
      <c r="F71" s="96"/>
      <c r="G71" s="96"/>
      <c r="H71" s="96"/>
      <c r="I71" s="96"/>
      <c r="J71" s="96"/>
      <c r="K71" s="96"/>
      <c r="L71" s="96"/>
      <c r="M71" s="96"/>
      <c r="N71" s="96"/>
      <c r="O71" s="96"/>
      <c r="P71" s="96"/>
      <c r="Q71" s="96"/>
      <c r="R71" s="96"/>
      <c r="S71" s="96"/>
      <c r="T71" s="96"/>
      <c r="U71" s="96"/>
    </row>
    <row r="72" spans="1:21">
      <c r="A72" s="96"/>
      <c r="B72" s="96"/>
      <c r="C72" s="96"/>
      <c r="D72" s="18"/>
      <c r="E72" s="96" t="s">
        <v>25</v>
      </c>
      <c r="F72" s="96"/>
      <c r="G72" s="96"/>
      <c r="H72" s="96"/>
      <c r="I72" s="96"/>
      <c r="J72" s="96"/>
      <c r="K72" s="96"/>
      <c r="L72" s="96"/>
      <c r="M72" s="96"/>
      <c r="N72" s="96"/>
      <c r="O72" s="96"/>
      <c r="P72" s="96"/>
      <c r="Q72" s="96"/>
      <c r="R72" s="96"/>
      <c r="S72" s="96"/>
      <c r="T72" s="96"/>
      <c r="U72" s="96"/>
    </row>
    <row r="73" spans="1:21">
      <c r="A73" s="96"/>
      <c r="B73" s="96"/>
      <c r="C73" s="96"/>
      <c r="D73" s="18">
        <f>SUM(D40:D72)</f>
        <v>10538909</v>
      </c>
      <c r="E73" s="96" t="s">
        <v>6</v>
      </c>
      <c r="F73" s="96"/>
      <c r="G73" s="96"/>
      <c r="H73" s="96"/>
      <c r="I73" s="96"/>
      <c r="J73" s="96"/>
      <c r="K73" s="96"/>
      <c r="L73" s="96"/>
      <c r="M73" s="96"/>
      <c r="N73" s="96"/>
      <c r="O73" s="96"/>
      <c r="P73" s="96"/>
      <c r="Q73" s="96"/>
      <c r="R73" s="96"/>
      <c r="S73" s="96"/>
      <c r="T73" s="96"/>
      <c r="U73" s="96"/>
    </row>
    <row r="74" spans="1:21">
      <c r="A74" s="96"/>
      <c r="B74" s="96"/>
      <c r="C74" s="96"/>
      <c r="D74" s="96"/>
      <c r="E74" s="96"/>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F76" s="96"/>
      <c r="G76" s="96"/>
      <c r="H76" s="96"/>
      <c r="I76" s="96" t="s">
        <v>25</v>
      </c>
      <c r="J76" s="96"/>
      <c r="K76" s="96"/>
      <c r="L76" s="96"/>
      <c r="M76" s="96"/>
      <c r="N76" s="96"/>
      <c r="O76" s="96"/>
      <c r="P76" s="96"/>
      <c r="Q76" s="96"/>
      <c r="R76" s="96"/>
      <c r="S76" s="96"/>
      <c r="T76" s="96"/>
      <c r="U76" s="96"/>
    </row>
    <row r="77" spans="1:21">
      <c r="A77" s="96"/>
      <c r="B77" s="96"/>
      <c r="C77" s="96"/>
      <c r="F77" s="96"/>
      <c r="G77" s="96"/>
      <c r="H77" s="96"/>
      <c r="I77" s="96"/>
      <c r="J77" s="96" t="s">
        <v>25</v>
      </c>
      <c r="K77" s="96"/>
      <c r="L77" s="96"/>
      <c r="M77" s="96"/>
      <c r="N77" s="96"/>
      <c r="O77" s="96"/>
      <c r="P77" s="96"/>
      <c r="Q77" s="96"/>
      <c r="R77" s="96"/>
      <c r="S77" s="96"/>
      <c r="T77" s="96"/>
      <c r="U77" s="96"/>
    </row>
    <row r="78" spans="1:21">
      <c r="A78" s="96"/>
      <c r="B78" s="96"/>
      <c r="C78" s="96"/>
      <c r="E78" t="s">
        <v>25</v>
      </c>
      <c r="F78" s="96"/>
      <c r="G78" s="96"/>
      <c r="H78" s="96"/>
      <c r="I78" s="96"/>
      <c r="J78" s="96"/>
      <c r="K78" s="96"/>
      <c r="L78" s="96"/>
      <c r="M78" s="96"/>
      <c r="N78" s="96"/>
      <c r="O78" s="96"/>
      <c r="P78" s="96"/>
      <c r="Q78" s="96"/>
      <c r="R78" s="96"/>
      <c r="S78" s="96"/>
      <c r="T78" s="96"/>
      <c r="U78" s="96"/>
    </row>
    <row r="79" spans="1:21">
      <c r="A79" s="96"/>
      <c r="B79" s="96"/>
      <c r="C79" s="96"/>
      <c r="E79" t="s">
        <v>25</v>
      </c>
      <c r="F79" s="96"/>
      <c r="G79" s="96"/>
      <c r="H79" s="96"/>
      <c r="I79" s="96"/>
      <c r="J79" s="96"/>
      <c r="K79" s="96"/>
      <c r="L79" s="96"/>
      <c r="M79" s="96"/>
      <c r="N79" s="96"/>
      <c r="O79" s="96"/>
      <c r="P79" s="96"/>
      <c r="Q79" s="96"/>
      <c r="R79" s="96"/>
      <c r="S79" s="96"/>
      <c r="T79" s="96"/>
      <c r="U79" s="96"/>
    </row>
    <row r="80" spans="1:21">
      <c r="A80" s="96"/>
      <c r="B80" s="96"/>
      <c r="C80" s="96"/>
      <c r="F80" s="96"/>
      <c r="G80" s="96"/>
      <c r="H80" s="96"/>
      <c r="I80" s="96"/>
      <c r="J80" s="96"/>
      <c r="K80" s="96"/>
      <c r="L80" s="96"/>
      <c r="M80" s="96"/>
      <c r="N80" s="96"/>
      <c r="O80" s="96"/>
      <c r="P80" s="96"/>
      <c r="Q80" s="96"/>
      <c r="R80" s="96"/>
      <c r="S80" s="96"/>
      <c r="T80" s="96"/>
      <c r="U80" s="96"/>
    </row>
    <row r="81" spans="1:21">
      <c r="A81" s="96"/>
      <c r="B81" s="96"/>
      <c r="C81" s="96"/>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4402</v>
      </c>
      <c r="B18" s="18">
        <v>-4098523</v>
      </c>
      <c r="C18" s="18">
        <v>0</v>
      </c>
      <c r="D18" s="113">
        <f t="shared" si="0"/>
        <v>-4098523</v>
      </c>
      <c r="E18" s="20" t="s">
        <v>4401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4402</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4402</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4398</v>
      </c>
      <c r="B21" s="18">
        <v>-7500</v>
      </c>
      <c r="C21" s="18">
        <v>0</v>
      </c>
      <c r="D21" s="113">
        <f t="shared" si="0"/>
        <v>-7500</v>
      </c>
      <c r="E21" s="19" t="s">
        <v>4399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4433</v>
      </c>
      <c r="B22" s="18">
        <v>7964</v>
      </c>
      <c r="C22" s="18">
        <v>65497</v>
      </c>
      <c r="D22" s="113">
        <f t="shared" si="0"/>
        <v>-57533</v>
      </c>
      <c r="E22" s="19" t="s">
        <v>4434</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4396</v>
      </c>
    </row>
    <row r="83" spans="4:5">
      <c r="D83" s="114">
        <v>-128352</v>
      </c>
      <c r="E83" s="54" t="s">
        <v>4395</v>
      </c>
    </row>
    <row r="84" spans="4:5">
      <c r="D84" s="114">
        <v>-6035000</v>
      </c>
      <c r="E84" s="54" t="s">
        <v>4405</v>
      </c>
    </row>
    <row r="85" spans="4:5">
      <c r="D85" s="114">
        <v>-55957</v>
      </c>
      <c r="E85" s="54" t="s">
        <v>4404</v>
      </c>
    </row>
    <row r="86" spans="4:5">
      <c r="D86" s="114">
        <v>7500</v>
      </c>
      <c r="E86" s="54" t="s">
        <v>4403</v>
      </c>
    </row>
    <row r="87" spans="4:5">
      <c r="D87" s="114">
        <v>1700000</v>
      </c>
      <c r="E87" s="54" t="s">
        <v>4406</v>
      </c>
    </row>
    <row r="88" spans="4:5">
      <c r="D88" s="114">
        <v>129648</v>
      </c>
      <c r="E88" s="54" t="s">
        <v>4407</v>
      </c>
    </row>
    <row r="89" spans="4:5">
      <c r="D89" s="114">
        <v>1000000</v>
      </c>
      <c r="E89" s="54" t="s">
        <v>4410</v>
      </c>
    </row>
    <row r="90" spans="4:5">
      <c r="D90" s="114">
        <v>-53003</v>
      </c>
      <c r="E90" s="54" t="s">
        <v>4411</v>
      </c>
    </row>
    <row r="91" spans="4:5">
      <c r="D91" s="114">
        <v>-23690</v>
      </c>
      <c r="E91" s="54" t="s">
        <v>4411</v>
      </c>
    </row>
    <row r="92" spans="4:5">
      <c r="D92" s="114">
        <v>-216910</v>
      </c>
      <c r="E92" s="54" t="s">
        <v>4412</v>
      </c>
    </row>
    <row r="93" spans="4:5">
      <c r="D93" s="114">
        <v>-30304</v>
      </c>
      <c r="E93" s="54" t="s">
        <v>4416</v>
      </c>
    </row>
    <row r="94" spans="4:5">
      <c r="D94" s="114">
        <v>-10067</v>
      </c>
      <c r="E94" s="54" t="s">
        <v>4417</v>
      </c>
    </row>
    <row r="95" spans="4:5">
      <c r="D95" s="114">
        <v>-16248</v>
      </c>
      <c r="E95" s="54" t="s">
        <v>4418</v>
      </c>
    </row>
    <row r="96" spans="4:5">
      <c r="D96" s="114">
        <v>-87695</v>
      </c>
      <c r="E96" s="54" t="s">
        <v>4419</v>
      </c>
    </row>
    <row r="97" spans="4:7">
      <c r="D97" s="114">
        <v>-29231</v>
      </c>
      <c r="E97" s="54" t="s">
        <v>4420</v>
      </c>
    </row>
    <row r="98" spans="4:7">
      <c r="D98" s="114">
        <v>1000000</v>
      </c>
      <c r="E98" s="54" t="s">
        <v>4421</v>
      </c>
    </row>
    <row r="99" spans="4:7">
      <c r="D99" s="114">
        <v>-35250</v>
      </c>
      <c r="E99" s="54" t="s">
        <v>4422</v>
      </c>
    </row>
    <row r="100" spans="4:7">
      <c r="D100" s="114">
        <v>-57477</v>
      </c>
      <c r="E100" s="54" t="s">
        <v>4423</v>
      </c>
    </row>
    <row r="101" spans="4:7">
      <c r="D101" s="114">
        <v>-13565</v>
      </c>
      <c r="E101" s="54" t="s">
        <v>4424</v>
      </c>
    </row>
    <row r="102" spans="4:7">
      <c r="D102" s="114">
        <v>-9429</v>
      </c>
      <c r="E102" s="54" t="s">
        <v>4425</v>
      </c>
    </row>
    <row r="103" spans="4:7">
      <c r="D103" s="114">
        <v>-600000</v>
      </c>
      <c r="E103" s="54" t="s">
        <v>4426</v>
      </c>
    </row>
    <row r="104" spans="4:7">
      <c r="D104" s="114">
        <v>335</v>
      </c>
      <c r="E104" s="54" t="s">
        <v>4428</v>
      </c>
    </row>
    <row r="105" spans="4:7">
      <c r="D105" s="114">
        <v>31026</v>
      </c>
      <c r="E105" s="54" t="s">
        <v>4429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4435</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4437</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4442</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4444</v>
      </c>
      <c r="B6" s="18">
        <v>3000000</v>
      </c>
      <c r="C6" s="18">
        <v>0</v>
      </c>
      <c r="D6" s="113">
        <f t="shared" si="0"/>
        <v>3000000</v>
      </c>
      <c r="E6" s="19" t="s">
        <v>4445</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4441</v>
      </c>
      <c r="B7" s="18">
        <v>-2000700</v>
      </c>
      <c r="C7" s="18">
        <v>0</v>
      </c>
      <c r="D7" s="113">
        <f t="shared" si="0"/>
        <v>-2000700</v>
      </c>
      <c r="E7" s="19" t="s">
        <v>4475</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4441</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4441</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4441</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4482</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4482</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4488</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4495</v>
      </c>
      <c r="B16" s="18">
        <v>12000000</v>
      </c>
      <c r="C16" s="18">
        <v>0</v>
      </c>
      <c r="D16" s="113">
        <f t="shared" si="0"/>
        <v>12000000</v>
      </c>
      <c r="E16" s="20" t="s">
        <v>4496</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4497</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4499</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4500</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4500</v>
      </c>
      <c r="B20" s="18">
        <v>0</v>
      </c>
      <c r="C20" s="18">
        <v>-8034286</v>
      </c>
      <c r="D20" s="113">
        <f t="shared" si="0"/>
        <v>8034286</v>
      </c>
      <c r="E20" s="19" t="s">
        <v>4501</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4500</v>
      </c>
      <c r="B21" s="18">
        <v>-10000</v>
      </c>
      <c r="C21" s="18">
        <v>0</v>
      </c>
      <c r="D21" s="113">
        <f t="shared" si="0"/>
        <v>-10000</v>
      </c>
      <c r="E21" s="19" t="s">
        <v>4502</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4503</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4509</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4510</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4510</v>
      </c>
      <c r="B25" s="18">
        <v>-100500</v>
      </c>
      <c r="C25" s="18">
        <v>0</v>
      </c>
      <c r="D25" s="113">
        <f t="shared" si="0"/>
        <v>-100500</v>
      </c>
      <c r="E25" s="19" t="s">
        <v>4512</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4510</v>
      </c>
      <c r="B26" s="18">
        <v>-68670</v>
      </c>
      <c r="C26" s="18">
        <v>0</v>
      </c>
      <c r="D26" s="113">
        <f t="shared" si="0"/>
        <v>-68670</v>
      </c>
      <c r="E26" s="19" t="s">
        <v>4516</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4513</v>
      </c>
      <c r="B27" s="18">
        <v>-118600</v>
      </c>
      <c r="C27" s="18">
        <v>0</v>
      </c>
      <c r="D27" s="113">
        <f t="shared" si="0"/>
        <v>-118600</v>
      </c>
      <c r="E27" s="19" t="s">
        <v>4518</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4523</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4523</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4523</v>
      </c>
      <c r="B30" s="18">
        <v>-389000</v>
      </c>
      <c r="C30" s="18">
        <v>0</v>
      </c>
      <c r="D30" s="113">
        <f t="shared" si="0"/>
        <v>-389000</v>
      </c>
      <c r="E30" s="19" t="s">
        <v>4525</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4472</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4476</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4478</v>
      </c>
      <c r="F40" s="96"/>
      <c r="G40" s="96"/>
      <c r="H40" s="96"/>
      <c r="I40" s="96"/>
      <c r="J40" s="96"/>
      <c r="K40" s="96"/>
      <c r="L40" s="96"/>
      <c r="M40" s="96"/>
      <c r="N40" s="96"/>
      <c r="O40" s="96"/>
      <c r="P40" s="96"/>
      <c r="Q40" s="96"/>
      <c r="R40" s="96"/>
      <c r="S40" s="96"/>
      <c r="T40" s="96"/>
    </row>
    <row r="41" spans="1:20">
      <c r="A41" s="96"/>
      <c r="B41" s="96"/>
      <c r="C41" s="96"/>
      <c r="D41" s="114">
        <v>40000</v>
      </c>
      <c r="E41" s="54" t="s">
        <v>4477</v>
      </c>
      <c r="F41" s="96"/>
      <c r="G41" s="96"/>
      <c r="H41" s="96"/>
      <c r="I41" s="96"/>
      <c r="J41" s="96"/>
      <c r="K41" s="96"/>
      <c r="L41" s="96"/>
      <c r="M41" s="96"/>
      <c r="N41" s="96"/>
      <c r="O41" s="96"/>
      <c r="P41" s="96"/>
      <c r="Q41" s="96"/>
      <c r="R41" s="96"/>
      <c r="S41" s="96"/>
      <c r="T41" s="96"/>
    </row>
    <row r="42" spans="1:20">
      <c r="A42" s="96"/>
      <c r="B42" s="96"/>
      <c r="C42" s="96"/>
      <c r="D42" s="114">
        <v>-490000</v>
      </c>
      <c r="E42" s="54" t="s">
        <v>4481</v>
      </c>
      <c r="F42" s="96"/>
      <c r="G42" s="96"/>
      <c r="H42" s="96"/>
      <c r="I42" s="96"/>
      <c r="J42" s="96"/>
      <c r="K42" s="96"/>
      <c r="L42" s="96"/>
      <c r="M42" s="96"/>
      <c r="N42" s="96"/>
      <c r="O42" s="96"/>
      <c r="P42" s="96"/>
      <c r="Q42" s="96"/>
      <c r="R42" s="96"/>
      <c r="S42" s="96"/>
      <c r="T42" s="96"/>
    </row>
    <row r="43" spans="1:20">
      <c r="A43" s="96"/>
      <c r="B43" s="96"/>
      <c r="C43" s="96"/>
      <c r="D43" s="114">
        <v>-597051</v>
      </c>
      <c r="E43" s="54" t="s">
        <v>4490</v>
      </c>
      <c r="F43" s="96"/>
      <c r="G43" s="96"/>
      <c r="H43" s="96"/>
      <c r="I43" s="96"/>
      <c r="J43" s="96"/>
      <c r="K43" s="96"/>
      <c r="L43" s="96"/>
      <c r="M43" s="96"/>
      <c r="N43" s="96"/>
      <c r="O43" s="96"/>
      <c r="P43" s="96"/>
      <c r="Q43" s="96"/>
      <c r="R43" s="96"/>
      <c r="S43" s="96"/>
      <c r="T43" s="96"/>
    </row>
    <row r="44" spans="1:20">
      <c r="A44" s="96"/>
      <c r="B44" s="96"/>
      <c r="C44" s="96"/>
      <c r="D44" s="114">
        <v>13900</v>
      </c>
      <c r="E44" s="54" t="s">
        <v>4491</v>
      </c>
      <c r="F44" s="96"/>
      <c r="G44" s="96"/>
      <c r="H44" s="96"/>
      <c r="I44" s="96"/>
      <c r="J44" s="96"/>
      <c r="K44" s="96"/>
      <c r="L44" s="96"/>
      <c r="M44" s="96"/>
      <c r="N44" s="96"/>
      <c r="O44" s="96"/>
      <c r="P44" s="96"/>
      <c r="Q44" s="96"/>
      <c r="R44" s="96"/>
      <c r="S44" s="96"/>
      <c r="T44" s="96"/>
    </row>
    <row r="45" spans="1:20">
      <c r="A45" s="96"/>
      <c r="B45" s="96"/>
      <c r="C45" s="96"/>
      <c r="D45" s="114">
        <v>2000000</v>
      </c>
      <c r="E45" s="54" t="s">
        <v>4492</v>
      </c>
      <c r="F45" s="96"/>
      <c r="G45" s="96" t="s">
        <v>25</v>
      </c>
      <c r="H45" s="96"/>
      <c r="I45" s="96"/>
      <c r="J45" s="96"/>
      <c r="K45" s="96"/>
      <c r="L45" s="96"/>
      <c r="M45" s="96"/>
      <c r="N45" s="96"/>
      <c r="O45" s="96"/>
      <c r="P45" s="96"/>
      <c r="Q45" s="96"/>
      <c r="R45" s="96"/>
      <c r="S45" s="96"/>
      <c r="T45" s="96"/>
    </row>
    <row r="46" spans="1:20">
      <c r="A46" s="96"/>
      <c r="B46" s="96"/>
      <c r="C46" s="96"/>
      <c r="D46" s="114">
        <v>-300000</v>
      </c>
      <c r="E46" s="54" t="s">
        <v>4493</v>
      </c>
      <c r="F46" s="96"/>
      <c r="G46" s="96" t="s">
        <v>25</v>
      </c>
      <c r="H46" s="96"/>
      <c r="I46" s="96"/>
      <c r="J46" s="96"/>
      <c r="K46" s="96"/>
      <c r="L46" s="96"/>
      <c r="M46" s="96"/>
      <c r="N46" s="96"/>
      <c r="O46" s="96"/>
      <c r="P46" s="96"/>
      <c r="Q46" s="96"/>
      <c r="R46" s="96"/>
      <c r="S46" s="96"/>
      <c r="T46" s="96"/>
    </row>
    <row r="47" spans="1:20" ht="30">
      <c r="A47" s="96"/>
      <c r="B47" s="96"/>
      <c r="C47" s="96"/>
      <c r="D47" s="114">
        <v>300000</v>
      </c>
      <c r="E47" s="54" t="s">
        <v>4498</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4505</v>
      </c>
      <c r="F49" s="96"/>
      <c r="G49" s="96"/>
      <c r="H49" s="96" t="s">
        <v>25</v>
      </c>
      <c r="I49" s="96"/>
      <c r="J49" s="96"/>
      <c r="K49" s="96"/>
      <c r="L49" s="96"/>
      <c r="M49" s="96"/>
      <c r="N49" s="96"/>
      <c r="O49" s="96"/>
      <c r="P49" s="96"/>
      <c r="Q49" s="96"/>
      <c r="R49" s="96"/>
      <c r="S49" s="96"/>
      <c r="T49" s="96"/>
    </row>
    <row r="50" spans="1:20">
      <c r="A50" s="96"/>
      <c r="B50" s="96"/>
      <c r="C50" s="96"/>
      <c r="D50" s="114">
        <v>-55000</v>
      </c>
      <c r="E50" s="54" t="s">
        <v>4508</v>
      </c>
      <c r="F50" s="96"/>
      <c r="G50" s="96"/>
      <c r="H50" s="96"/>
      <c r="I50" s="96"/>
      <c r="J50" s="96"/>
      <c r="K50" s="96"/>
      <c r="L50" s="96"/>
      <c r="M50" s="96"/>
      <c r="N50" s="96"/>
      <c r="O50" s="96"/>
      <c r="P50" s="96"/>
      <c r="Q50" s="96"/>
      <c r="R50" s="96"/>
      <c r="S50" s="96"/>
      <c r="T50" s="96"/>
    </row>
    <row r="51" spans="1:20">
      <c r="A51" s="96"/>
      <c r="B51" s="96"/>
      <c r="C51" s="96"/>
      <c r="D51" s="114">
        <v>100500</v>
      </c>
      <c r="E51" s="54" t="s">
        <v>4512</v>
      </c>
      <c r="F51" s="96"/>
      <c r="G51" s="96"/>
      <c r="H51" s="96"/>
      <c r="I51" s="96"/>
      <c r="J51" s="96"/>
      <c r="K51" s="96"/>
      <c r="L51" s="96"/>
      <c r="M51" s="96"/>
      <c r="N51" s="96"/>
      <c r="O51" s="96"/>
      <c r="P51" s="96"/>
      <c r="Q51" s="96"/>
      <c r="R51" s="96"/>
      <c r="S51" s="96"/>
      <c r="T51" s="96"/>
    </row>
    <row r="52" spans="1:20">
      <c r="A52" s="96"/>
      <c r="B52" s="96"/>
      <c r="C52" s="96"/>
      <c r="D52" s="114">
        <v>68670</v>
      </c>
      <c r="E52" s="54" t="s">
        <v>4517</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4524</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4433</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4549</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4549</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4553</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4553</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4556</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4556</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4559</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4562</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4562</v>
      </c>
      <c r="B11" s="18">
        <v>-1287000</v>
      </c>
      <c r="C11" s="18">
        <v>0</v>
      </c>
      <c r="D11" s="113">
        <f t="shared" si="0"/>
        <v>-1287000</v>
      </c>
      <c r="E11" s="19" t="s">
        <v>4563</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4559</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4560</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4571</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4575</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4576</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4578</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4586</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4590</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4503</v>
      </c>
      <c r="B22" s="18">
        <v>-3995000</v>
      </c>
      <c r="C22" s="18">
        <v>0</v>
      </c>
      <c r="D22" s="113">
        <f t="shared" si="0"/>
        <v>-3995000</v>
      </c>
      <c r="E22" s="19" t="s">
        <v>4591</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4509</v>
      </c>
      <c r="B23" s="18">
        <v>-2010700</v>
      </c>
      <c r="C23" s="18">
        <v>0</v>
      </c>
      <c r="D23" s="113">
        <f t="shared" si="0"/>
        <v>-2010700</v>
      </c>
      <c r="E23" s="19" t="s">
        <v>4601</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4599</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4604</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4613</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4618</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4618</v>
      </c>
      <c r="B29" s="18">
        <v>-77315</v>
      </c>
      <c r="C29" s="18">
        <v>0</v>
      </c>
      <c r="D29" s="113">
        <f t="shared" si="0"/>
        <v>-77315</v>
      </c>
      <c r="E29" s="19" t="s">
        <v>4620</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4622</v>
      </c>
      <c r="B30" s="18">
        <v>-66850</v>
      </c>
      <c r="C30" s="18">
        <v>0</v>
      </c>
      <c r="D30" s="113">
        <f t="shared" si="0"/>
        <v>-66850</v>
      </c>
      <c r="E30" s="19" t="s">
        <v>4625</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4622</v>
      </c>
      <c r="B31" s="168">
        <v>-30000</v>
      </c>
      <c r="C31" s="168">
        <v>0</v>
      </c>
      <c r="D31" s="168">
        <f t="shared" ref="D31" si="4">B31-C31</f>
        <v>-30000</v>
      </c>
      <c r="E31" s="168" t="s">
        <v>4624</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4551</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4555</v>
      </c>
      <c r="F40" s="96"/>
      <c r="G40" s="96"/>
      <c r="H40" s="96"/>
      <c r="I40" s="96"/>
      <c r="J40" s="96"/>
      <c r="K40" s="96"/>
      <c r="L40" s="96"/>
      <c r="M40" s="96"/>
      <c r="N40" s="96"/>
      <c r="O40" s="96"/>
      <c r="P40" s="96"/>
      <c r="Q40" s="96"/>
      <c r="R40" s="96"/>
      <c r="S40" s="96"/>
    </row>
    <row r="41" spans="1:19" ht="24.75" customHeight="1">
      <c r="A41" s="96"/>
      <c r="B41" s="96"/>
      <c r="C41" s="96"/>
      <c r="D41" s="18">
        <v>3576</v>
      </c>
      <c r="E41" s="122" t="s">
        <v>4557</v>
      </c>
      <c r="F41" s="96"/>
      <c r="G41" s="96"/>
      <c r="H41" s="96"/>
      <c r="I41" s="96"/>
      <c r="J41" s="96"/>
      <c r="K41" s="96"/>
      <c r="L41" s="96"/>
      <c r="M41" s="96"/>
      <c r="N41" s="96"/>
      <c r="O41" s="96"/>
      <c r="P41" s="96"/>
      <c r="Q41" s="96"/>
      <c r="R41" s="96"/>
      <c r="S41" s="96"/>
    </row>
    <row r="42" spans="1:19" ht="30.75" customHeight="1">
      <c r="A42" s="96"/>
      <c r="B42" s="96"/>
      <c r="C42" s="96"/>
      <c r="D42" s="18">
        <v>-400000</v>
      </c>
      <c r="E42" s="122" t="s">
        <v>4558</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4564</v>
      </c>
      <c r="F44" s="96"/>
      <c r="G44" s="96"/>
      <c r="H44" s="96"/>
      <c r="I44" s="96"/>
      <c r="J44" s="96"/>
      <c r="K44" s="96"/>
      <c r="L44" s="96"/>
      <c r="M44" s="96"/>
      <c r="N44" s="96"/>
      <c r="O44" s="96"/>
      <c r="P44" s="96"/>
      <c r="Q44" s="96"/>
      <c r="R44" s="96"/>
      <c r="S44" s="96"/>
    </row>
    <row r="45" spans="1:19" ht="24.75" customHeight="1">
      <c r="A45" s="96"/>
      <c r="B45" s="96"/>
      <c r="C45" s="96"/>
      <c r="D45" s="18">
        <v>-200000</v>
      </c>
      <c r="E45" s="122" t="s">
        <v>4572</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4602</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4614</v>
      </c>
      <c r="F47" s="96" t="s">
        <v>25</v>
      </c>
      <c r="G47" s="96"/>
      <c r="H47" s="96"/>
      <c r="I47" s="96"/>
      <c r="J47" s="96"/>
      <c r="K47" s="96"/>
      <c r="L47" s="96"/>
      <c r="M47" s="96"/>
      <c r="N47" s="96"/>
      <c r="O47" s="96"/>
      <c r="P47" s="96"/>
      <c r="Q47" s="96"/>
      <c r="R47" s="96"/>
      <c r="S47" s="96"/>
    </row>
    <row r="48" spans="1:19">
      <c r="A48" s="96"/>
      <c r="B48" s="96"/>
      <c r="C48" s="96"/>
      <c r="D48" s="18">
        <v>49315</v>
      </c>
      <c r="E48" s="122" t="s">
        <v>4621</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4622</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4628</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4628</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4642</v>
      </c>
      <c r="B5" s="18">
        <v>-200000</v>
      </c>
      <c r="C5" s="18">
        <v>0</v>
      </c>
      <c r="D5" s="113">
        <f t="shared" si="0"/>
        <v>-200000</v>
      </c>
      <c r="E5" s="20" t="s">
        <v>4639</v>
      </c>
      <c r="F5" s="96">
        <v>28</v>
      </c>
      <c r="G5" s="96">
        <f t="shared" si="1"/>
        <v>-5600000</v>
      </c>
      <c r="H5" s="96">
        <f t="shared" si="2"/>
        <v>0</v>
      </c>
      <c r="I5" s="96">
        <f t="shared" si="3"/>
        <v>-5600000</v>
      </c>
      <c r="J5" s="96"/>
      <c r="K5" s="96"/>
      <c r="L5" s="96"/>
      <c r="M5" s="96"/>
      <c r="N5" s="96"/>
      <c r="O5" s="96">
        <v>1</v>
      </c>
      <c r="P5" s="96">
        <v>29</v>
      </c>
      <c r="Q5" s="96">
        <v>30</v>
      </c>
      <c r="R5" s="96"/>
      <c r="S5" s="96"/>
    </row>
    <row r="6" spans="1:19">
      <c r="A6" s="17" t="s">
        <v>4652</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4656</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4656</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4656</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4656</v>
      </c>
      <c r="B10" s="18">
        <v>-51400</v>
      </c>
      <c r="C10" s="18">
        <v>0</v>
      </c>
      <c r="D10" s="113">
        <f t="shared" si="0"/>
        <v>-51400</v>
      </c>
      <c r="E10" s="19" t="s">
        <v>4662</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4665</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4665</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4681</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4681</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4681</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4685</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4695</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4701</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4701</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4710</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4703</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4704</v>
      </c>
      <c r="B22" s="18">
        <v>-324747</v>
      </c>
      <c r="C22" s="18">
        <v>0</v>
      </c>
      <c r="D22" s="113">
        <f t="shared" si="0"/>
        <v>-324747</v>
      </c>
      <c r="E22" s="19" t="s">
        <v>4711</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4718</v>
      </c>
      <c r="B23" s="18">
        <v>-297992</v>
      </c>
      <c r="C23" s="18">
        <v>0</v>
      </c>
      <c r="D23" s="113">
        <f t="shared" si="0"/>
        <v>-297992</v>
      </c>
      <c r="E23" s="19" t="s">
        <v>4719</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4727</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4613</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4618</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4618</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4622</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4622</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4635</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4636</v>
      </c>
      <c r="F40" s="96"/>
      <c r="G40" s="96"/>
      <c r="H40" s="96"/>
      <c r="I40" s="96"/>
      <c r="J40" s="96"/>
      <c r="K40" s="96"/>
      <c r="L40" s="96"/>
      <c r="M40" s="96"/>
      <c r="N40" s="96"/>
      <c r="O40" s="96"/>
      <c r="P40" s="96"/>
      <c r="Q40" s="96"/>
      <c r="R40" s="96"/>
      <c r="S40" s="96"/>
    </row>
    <row r="41" spans="1:19">
      <c r="A41" s="96"/>
      <c r="B41" s="96"/>
      <c r="C41" s="96"/>
      <c r="D41" s="18">
        <v>47848</v>
      </c>
      <c r="E41" s="122" t="s">
        <v>4640</v>
      </c>
      <c r="F41" s="96"/>
      <c r="G41" s="96"/>
      <c r="H41" s="96"/>
      <c r="I41" s="96"/>
      <c r="J41" s="96"/>
      <c r="K41" s="96"/>
      <c r="L41" s="96"/>
      <c r="M41" s="96"/>
      <c r="N41" s="96"/>
      <c r="O41" s="96"/>
      <c r="P41" s="96"/>
      <c r="Q41" s="96"/>
      <c r="R41" s="96"/>
      <c r="S41" s="96"/>
    </row>
    <row r="42" spans="1:19">
      <c r="A42" s="96"/>
      <c r="B42" s="96"/>
      <c r="C42" s="96"/>
      <c r="D42" s="18">
        <v>200000</v>
      </c>
      <c r="E42" s="122" t="s">
        <v>4641</v>
      </c>
      <c r="F42" s="96"/>
      <c r="G42" s="96"/>
      <c r="H42" s="96"/>
      <c r="I42" s="96"/>
      <c r="J42" s="96"/>
      <c r="K42" s="96"/>
      <c r="L42" s="96"/>
      <c r="M42" s="96"/>
      <c r="N42" s="96"/>
      <c r="O42" s="96"/>
      <c r="P42" s="96"/>
      <c r="Q42" s="96"/>
      <c r="R42" s="96"/>
      <c r="S42" s="96"/>
    </row>
    <row r="43" spans="1:19">
      <c r="A43" s="96"/>
      <c r="B43" s="96"/>
      <c r="C43" s="96"/>
      <c r="D43" s="18">
        <v>60460</v>
      </c>
      <c r="E43" s="122" t="s">
        <v>4658</v>
      </c>
      <c r="F43" s="96"/>
      <c r="G43" s="96"/>
      <c r="H43" s="96"/>
      <c r="I43" s="96"/>
      <c r="J43" s="96"/>
      <c r="K43" s="96"/>
      <c r="L43" s="96"/>
      <c r="M43" s="96"/>
      <c r="N43" s="96"/>
      <c r="O43" s="96"/>
      <c r="P43" s="96"/>
      <c r="Q43" s="96"/>
      <c r="R43" s="96"/>
      <c r="S43" s="96"/>
    </row>
    <row r="44" spans="1:19">
      <c r="A44" s="96"/>
      <c r="B44" s="96"/>
      <c r="C44" s="96"/>
      <c r="D44" s="18">
        <v>-2400000</v>
      </c>
      <c r="E44" s="122" t="s">
        <v>4659</v>
      </c>
      <c r="F44" s="96"/>
      <c r="G44" s="96"/>
      <c r="H44" s="96"/>
      <c r="I44" s="96"/>
      <c r="J44" s="96"/>
      <c r="K44" s="96"/>
      <c r="L44" s="96"/>
      <c r="M44" s="96"/>
      <c r="N44" s="96"/>
      <c r="O44" s="96"/>
      <c r="P44" s="96"/>
      <c r="Q44" s="96"/>
      <c r="R44" s="96"/>
      <c r="S44" s="96"/>
    </row>
    <row r="45" spans="1:19">
      <c r="A45" s="96"/>
      <c r="B45" s="96"/>
      <c r="C45" s="96"/>
      <c r="D45" s="18">
        <v>135487</v>
      </c>
      <c r="E45" s="122" t="s">
        <v>4660</v>
      </c>
      <c r="F45" s="96"/>
      <c r="G45" s="96" t="s">
        <v>25</v>
      </c>
      <c r="H45" s="96"/>
      <c r="I45" s="96"/>
      <c r="J45" s="96"/>
      <c r="K45" s="96"/>
      <c r="L45" s="96"/>
      <c r="M45" s="96"/>
      <c r="N45" s="96"/>
      <c r="O45" s="96"/>
      <c r="P45" s="96"/>
      <c r="Q45" s="96"/>
      <c r="R45" s="96"/>
      <c r="S45" s="96"/>
    </row>
    <row r="46" spans="1:19">
      <c r="A46" s="96"/>
      <c r="B46" s="96"/>
      <c r="C46" s="96"/>
      <c r="D46" s="18">
        <v>347153</v>
      </c>
      <c r="E46" s="122" t="s">
        <v>4661</v>
      </c>
      <c r="F46" s="96"/>
      <c r="G46" s="96" t="s">
        <v>25</v>
      </c>
      <c r="H46" s="96"/>
      <c r="I46" s="96"/>
      <c r="J46" s="96"/>
      <c r="K46" s="96"/>
      <c r="L46" s="96"/>
      <c r="M46" s="96"/>
      <c r="N46" s="96"/>
      <c r="O46" s="96"/>
      <c r="P46" s="96"/>
      <c r="Q46" s="96"/>
      <c r="R46" s="96"/>
      <c r="S46" s="96"/>
    </row>
    <row r="47" spans="1:19">
      <c r="A47" s="96"/>
      <c r="B47" s="96"/>
      <c r="C47" s="96"/>
      <c r="D47" s="18">
        <v>51400</v>
      </c>
      <c r="E47" s="122" t="s">
        <v>4662</v>
      </c>
      <c r="F47" s="96" t="s">
        <v>25</v>
      </c>
      <c r="G47" s="96"/>
      <c r="H47" s="96"/>
      <c r="I47" s="96"/>
      <c r="J47" s="96"/>
      <c r="K47" s="96"/>
      <c r="L47" s="96"/>
      <c r="M47" s="96"/>
      <c r="N47" s="96"/>
      <c r="O47" s="96"/>
      <c r="P47" s="96"/>
      <c r="Q47" s="96"/>
      <c r="R47" s="96"/>
      <c r="S47" s="96"/>
    </row>
    <row r="48" spans="1:19">
      <c r="A48" s="96"/>
      <c r="B48" s="96"/>
      <c r="C48" s="96"/>
      <c r="D48" s="18">
        <v>-200000</v>
      </c>
      <c r="E48" s="122" t="s">
        <v>4666</v>
      </c>
      <c r="F48" s="96"/>
      <c r="G48" s="96"/>
      <c r="H48" s="96"/>
      <c r="I48" s="96"/>
      <c r="J48" s="96"/>
      <c r="K48" s="96"/>
      <c r="L48" s="96"/>
      <c r="M48" s="96"/>
      <c r="N48" s="96"/>
      <c r="O48" s="96"/>
      <c r="P48" s="96"/>
      <c r="Q48" s="96"/>
      <c r="R48" s="96"/>
      <c r="S48" s="96"/>
    </row>
    <row r="49" spans="1:19">
      <c r="A49" s="96"/>
      <c r="B49" s="96"/>
      <c r="C49" s="96"/>
      <c r="D49" s="18">
        <v>-400000</v>
      </c>
      <c r="E49" s="122" t="s">
        <v>4672</v>
      </c>
      <c r="F49" s="96"/>
      <c r="G49" s="96"/>
      <c r="H49" s="96" t="s">
        <v>25</v>
      </c>
      <c r="I49" s="96"/>
      <c r="J49" s="96"/>
      <c r="K49" s="96"/>
      <c r="L49" s="96"/>
      <c r="M49" s="96"/>
      <c r="N49" s="96"/>
      <c r="O49" s="96"/>
      <c r="P49" s="96"/>
      <c r="Q49" s="96"/>
      <c r="R49" s="96"/>
      <c r="S49" s="96"/>
    </row>
    <row r="50" spans="1:19">
      <c r="A50" s="96"/>
      <c r="B50" s="96"/>
      <c r="C50" s="96"/>
      <c r="D50" s="18">
        <v>-200000</v>
      </c>
      <c r="E50" s="122" t="s">
        <v>4673</v>
      </c>
      <c r="F50" s="96"/>
      <c r="G50" s="96"/>
      <c r="H50" s="96"/>
      <c r="I50" s="96"/>
      <c r="J50" s="96"/>
      <c r="K50" s="96"/>
      <c r="L50" s="96"/>
      <c r="M50" s="96"/>
      <c r="N50" s="96"/>
      <c r="O50" s="96"/>
      <c r="P50" s="96"/>
      <c r="Q50" s="96"/>
      <c r="R50" s="96"/>
      <c r="S50" s="96"/>
    </row>
    <row r="51" spans="1:19">
      <c r="A51" s="96"/>
      <c r="B51" s="96"/>
      <c r="C51" s="96"/>
      <c r="D51" s="18">
        <v>276773</v>
      </c>
      <c r="E51" s="122" t="s">
        <v>4683</v>
      </c>
      <c r="F51" s="96"/>
      <c r="G51" s="96"/>
      <c r="H51" s="96"/>
      <c r="I51" s="96"/>
      <c r="J51" s="96"/>
      <c r="K51" s="96"/>
      <c r="L51" s="96"/>
      <c r="M51" s="96"/>
      <c r="N51" s="96"/>
      <c r="O51" s="96"/>
      <c r="P51" s="96"/>
      <c r="Q51" s="96"/>
      <c r="R51" s="96"/>
      <c r="S51" s="96"/>
    </row>
    <row r="52" spans="1:19">
      <c r="A52" s="96"/>
      <c r="B52" s="96"/>
      <c r="C52" s="96"/>
      <c r="D52" s="18">
        <v>114710</v>
      </c>
      <c r="E52" s="122" t="s">
        <v>4686</v>
      </c>
      <c r="F52" s="114" t="s">
        <v>25</v>
      </c>
      <c r="G52" s="41" t="s">
        <v>25</v>
      </c>
      <c r="H52" s="96"/>
      <c r="I52" s="96"/>
      <c r="J52" s="96"/>
      <c r="K52" s="96"/>
      <c r="L52" s="96"/>
      <c r="M52" s="96"/>
      <c r="N52" s="96"/>
      <c r="O52" s="96"/>
      <c r="P52" s="96"/>
      <c r="Q52" s="96"/>
      <c r="R52" s="96"/>
      <c r="S52" s="96"/>
    </row>
    <row r="53" spans="1:19">
      <c r="A53" s="96"/>
      <c r="B53" s="96"/>
      <c r="C53" s="96"/>
      <c r="D53" s="18">
        <v>55120</v>
      </c>
      <c r="E53" s="122" t="s">
        <v>4702</v>
      </c>
      <c r="F53" s="114"/>
      <c r="G53" s="41"/>
      <c r="H53" s="96"/>
      <c r="I53" s="96"/>
      <c r="J53" s="96"/>
      <c r="K53" s="96"/>
      <c r="L53" s="96"/>
      <c r="M53" s="96"/>
      <c r="N53" s="96"/>
      <c r="O53" s="96"/>
      <c r="P53" s="96"/>
      <c r="Q53" s="96"/>
      <c r="R53" s="96"/>
      <c r="S53" s="96"/>
    </row>
    <row r="54" spans="1:19">
      <c r="A54" s="96"/>
      <c r="B54" s="96"/>
      <c r="C54" s="96"/>
      <c r="D54" s="18">
        <v>115000</v>
      </c>
      <c r="E54" s="122" t="s">
        <v>4707</v>
      </c>
      <c r="F54" s="114"/>
      <c r="G54" s="41"/>
      <c r="H54" s="96"/>
      <c r="I54" s="96"/>
      <c r="J54" s="96"/>
      <c r="K54" s="96"/>
      <c r="L54" s="96"/>
      <c r="M54" s="96"/>
      <c r="N54" s="96"/>
      <c r="O54" s="96"/>
      <c r="P54" s="96"/>
      <c r="Q54" s="96"/>
      <c r="R54" s="96"/>
      <c r="S54" s="96"/>
    </row>
    <row r="55" spans="1:19">
      <c r="A55" s="96"/>
      <c r="B55" s="96"/>
      <c r="C55" s="96"/>
      <c r="D55" s="18">
        <v>247560</v>
      </c>
      <c r="E55" s="122" t="s">
        <v>4708</v>
      </c>
      <c r="F55" s="114"/>
      <c r="G55" s="41"/>
      <c r="H55" s="96"/>
      <c r="I55" s="96"/>
      <c r="J55" s="96"/>
      <c r="K55" s="96"/>
      <c r="L55" s="96"/>
      <c r="M55" s="96"/>
      <c r="N55" s="96"/>
      <c r="O55" s="96"/>
      <c r="P55" s="96"/>
      <c r="Q55" s="96"/>
      <c r="R55" s="96"/>
      <c r="S55" s="96"/>
    </row>
    <row r="56" spans="1:19">
      <c r="A56" s="96"/>
      <c r="B56" s="96"/>
      <c r="C56" s="96"/>
      <c r="D56" s="18">
        <v>77187</v>
      </c>
      <c r="E56" s="122" t="s">
        <v>4709</v>
      </c>
      <c r="F56" s="96"/>
      <c r="G56" s="96"/>
      <c r="H56" s="96" t="s">
        <v>25</v>
      </c>
      <c r="I56" s="96"/>
      <c r="J56" s="96"/>
      <c r="K56" s="96"/>
      <c r="L56" s="96"/>
      <c r="M56" s="96"/>
      <c r="N56" s="96"/>
      <c r="O56" s="96"/>
      <c r="P56" s="96"/>
      <c r="Q56" s="96"/>
      <c r="R56" s="96"/>
      <c r="S56" s="96"/>
    </row>
    <row r="57" spans="1:19">
      <c r="A57" s="96"/>
      <c r="B57" s="96"/>
      <c r="C57" s="96"/>
      <c r="D57" s="18">
        <v>-140000</v>
      </c>
      <c r="E57" s="122" t="s">
        <v>4712</v>
      </c>
      <c r="F57" s="96"/>
      <c r="G57" s="96"/>
      <c r="H57" s="96"/>
      <c r="I57" s="96"/>
      <c r="J57" s="96"/>
      <c r="K57" s="96"/>
      <c r="L57" s="96"/>
      <c r="M57" s="96"/>
      <c r="N57" s="96"/>
      <c r="O57" s="96"/>
      <c r="P57" s="96"/>
      <c r="Q57" s="96"/>
      <c r="R57" s="96"/>
      <c r="S57" s="96"/>
    </row>
    <row r="58" spans="1:19">
      <c r="A58" s="96"/>
      <c r="B58" s="96"/>
      <c r="C58" s="96"/>
      <c r="D58" s="18">
        <v>-1600000</v>
      </c>
      <c r="E58" s="122" t="s">
        <v>4713</v>
      </c>
      <c r="F58" s="96"/>
      <c r="G58" s="96"/>
      <c r="H58" s="96"/>
      <c r="I58" s="96"/>
      <c r="J58" s="96"/>
      <c r="K58" s="96"/>
      <c r="L58" s="96"/>
      <c r="M58" s="96"/>
      <c r="N58" s="96"/>
      <c r="O58" s="96"/>
      <c r="P58" s="96"/>
      <c r="Q58" s="96"/>
      <c r="R58" s="96"/>
      <c r="S58" s="96"/>
    </row>
    <row r="59" spans="1:19">
      <c r="A59" s="96"/>
      <c r="B59" s="96"/>
      <c r="C59" s="96"/>
      <c r="D59" s="18">
        <v>-2000</v>
      </c>
      <c r="E59" s="122" t="s">
        <v>4720</v>
      </c>
      <c r="F59" s="96"/>
      <c r="G59" s="96"/>
      <c r="H59" s="96"/>
      <c r="I59" s="96"/>
      <c r="J59" s="96"/>
      <c r="K59" s="96"/>
      <c r="L59" s="96"/>
      <c r="M59" s="96"/>
      <c r="N59" s="96"/>
      <c r="O59" s="96"/>
      <c r="P59" s="96"/>
      <c r="Q59" s="96"/>
      <c r="R59" s="96"/>
      <c r="S59" s="96"/>
    </row>
    <row r="60" spans="1:19">
      <c r="A60" s="96"/>
      <c r="B60" s="96"/>
      <c r="C60" s="96"/>
      <c r="D60" s="18">
        <v>40000</v>
      </c>
      <c r="E60" s="122" t="s">
        <v>4733</v>
      </c>
      <c r="F60" s="96"/>
      <c r="G60" s="96"/>
      <c r="H60" s="96"/>
      <c r="I60" s="96"/>
      <c r="J60" s="96"/>
      <c r="K60" s="96"/>
      <c r="L60" s="96"/>
      <c r="M60" s="96"/>
      <c r="N60" s="96"/>
      <c r="O60" s="96"/>
      <c r="P60" s="96"/>
      <c r="Q60" s="96"/>
      <c r="R60" s="96"/>
      <c r="S60" s="96"/>
    </row>
    <row r="61" spans="1:19">
      <c r="A61" s="96"/>
      <c r="B61" s="96"/>
      <c r="C61" s="96"/>
      <c r="D61" s="18">
        <v>-146877</v>
      </c>
      <c r="E61" s="122" t="s">
        <v>4734</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4731</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4740</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4761</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4769</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4769</v>
      </c>
      <c r="B6" s="18">
        <v>-1866154</v>
      </c>
      <c r="C6" s="18">
        <v>0</v>
      </c>
      <c r="D6" s="113">
        <f t="shared" si="0"/>
        <v>-1866154</v>
      </c>
      <c r="E6" s="19" t="s">
        <v>4775</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4769</v>
      </c>
      <c r="B7" s="18">
        <v>-36600</v>
      </c>
      <c r="C7" s="18">
        <v>0</v>
      </c>
      <c r="D7" s="113">
        <f t="shared" si="0"/>
        <v>-36600</v>
      </c>
      <c r="E7" s="19" t="s">
        <v>4776</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4777</v>
      </c>
      <c r="B8" s="18">
        <v>-492000</v>
      </c>
      <c r="C8" s="18">
        <v>0</v>
      </c>
      <c r="D8" s="113">
        <f t="shared" si="0"/>
        <v>-492000</v>
      </c>
      <c r="E8" s="19" t="s">
        <v>4778</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4777</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4777</v>
      </c>
      <c r="B10" s="18">
        <v>-40000</v>
      </c>
      <c r="C10" s="18">
        <v>0</v>
      </c>
      <c r="D10" s="113">
        <f t="shared" si="0"/>
        <v>-40000</v>
      </c>
      <c r="E10" s="19" t="s">
        <v>4780</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4781</v>
      </c>
      <c r="B11" s="18">
        <v>-66000</v>
      </c>
      <c r="C11" s="18">
        <v>0</v>
      </c>
      <c r="D11" s="113">
        <f t="shared" si="0"/>
        <v>-66000</v>
      </c>
      <c r="E11" s="19" t="s">
        <v>4780</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4782</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4782</v>
      </c>
      <c r="B13" s="18">
        <v>-200500</v>
      </c>
      <c r="C13" s="18">
        <v>0</v>
      </c>
      <c r="D13" s="113">
        <f t="shared" si="0"/>
        <v>-200500</v>
      </c>
      <c r="E13" s="20" t="s">
        <v>4783</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4787</v>
      </c>
      <c r="B14" s="18">
        <v>1563000</v>
      </c>
      <c r="C14" s="18">
        <v>0</v>
      </c>
      <c r="D14" s="113">
        <f t="shared" si="0"/>
        <v>1563000</v>
      </c>
      <c r="E14" s="20" t="s">
        <v>4792</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4787</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4801</v>
      </c>
      <c r="B16" s="18">
        <v>-20000</v>
      </c>
      <c r="C16" s="18">
        <v>0</v>
      </c>
      <c r="D16" s="113">
        <f t="shared" si="0"/>
        <v>-20000</v>
      </c>
      <c r="E16" s="20" t="s">
        <v>4805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4816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4820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4825</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4834</v>
      </c>
      <c r="B20" s="18">
        <v>400000</v>
      </c>
      <c r="C20" s="18">
        <v>0</v>
      </c>
      <c r="D20" s="113">
        <f t="shared" si="0"/>
        <v>400000</v>
      </c>
      <c r="E20" s="19" t="s">
        <v>4836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4838</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4838</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4838</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4840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4840</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4841</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4841</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4846</v>
      </c>
      <c r="B28" s="18">
        <v>433375</v>
      </c>
      <c r="C28" s="18">
        <v>0</v>
      </c>
      <c r="D28" s="113">
        <f t="shared" si="0"/>
        <v>433375</v>
      </c>
      <c r="E28" s="19" t="s">
        <v>4849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4855</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4855</v>
      </c>
      <c r="B30" s="18">
        <v>-300000</v>
      </c>
      <c r="C30" s="18">
        <v>0</v>
      </c>
      <c r="D30" s="113">
        <f t="shared" si="0"/>
        <v>-300000</v>
      </c>
      <c r="E30" s="19" t="s">
        <v>4858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4855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4861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4622</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4738</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4739</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4750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4751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4760</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4767</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4772</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4773</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4774</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4775</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4779</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4784</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4785</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4788</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4793</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4796</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4800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4803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4804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4806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4807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4817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4819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4824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4826</v>
      </c>
      <c r="F68" s="96"/>
      <c r="G68" s="96"/>
      <c r="H68" s="96"/>
      <c r="I68" s="96"/>
    </row>
    <row r="69" spans="1:22">
      <c r="A69" s="96"/>
      <c r="B69" s="96"/>
      <c r="C69" s="96"/>
      <c r="D69" s="18">
        <v>-67844</v>
      </c>
      <c r="E69" s="122" t="s">
        <v>4828</v>
      </c>
      <c r="F69" s="96"/>
      <c r="G69" s="96"/>
      <c r="H69" s="96"/>
      <c r="I69" s="96"/>
    </row>
    <row r="70" spans="1:22">
      <c r="D70" s="18">
        <v>-400000</v>
      </c>
      <c r="E70" s="122" t="s">
        <v>4837</v>
      </c>
      <c r="G70" t="s">
        <v>25</v>
      </c>
    </row>
    <row r="71" spans="1:22">
      <c r="D71" s="18">
        <v>463200</v>
      </c>
      <c r="E71" s="122" t="s">
        <v>4839</v>
      </c>
    </row>
    <row r="72" spans="1:22">
      <c r="D72" s="18">
        <v>2000000</v>
      </c>
      <c r="E72" s="96" t="s">
        <v>4842</v>
      </c>
    </row>
    <row r="73" spans="1:22">
      <c r="D73" s="18">
        <v>-280000</v>
      </c>
      <c r="E73" t="s">
        <v>4843</v>
      </c>
    </row>
    <row r="74" spans="1:22">
      <c r="D74" s="18">
        <v>-200000</v>
      </c>
      <c r="E74" s="96" t="s">
        <v>4850</v>
      </c>
    </row>
    <row r="75" spans="1:22">
      <c r="D75" s="18">
        <v>-2000000</v>
      </c>
      <c r="E75" s="96" t="s">
        <v>4856</v>
      </c>
    </row>
    <row r="76" spans="1:22">
      <c r="D76" s="18">
        <v>92800</v>
      </c>
      <c r="E76" s="96" t="s">
        <v>4860</v>
      </c>
    </row>
    <row r="77" spans="1:22">
      <c r="D77" s="18">
        <v>1417727</v>
      </c>
      <c r="E77" s="96" t="s">
        <v>4861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4398</v>
      </c>
      <c r="B238" s="18">
        <v>-7500</v>
      </c>
      <c r="C238" s="18">
        <v>0</v>
      </c>
      <c r="D238" s="18">
        <f t="shared" si="18"/>
        <v>-7500</v>
      </c>
      <c r="E238" s="99" t="s">
        <v>4399</v>
      </c>
      <c r="F238" s="99">
        <v>1</v>
      </c>
      <c r="G238" s="36">
        <f t="shared" si="21"/>
        <v>132</v>
      </c>
      <c r="H238" s="99">
        <f t="shared" si="15"/>
        <v>0</v>
      </c>
      <c r="I238" s="99">
        <f t="shared" si="13"/>
        <v>-990000</v>
      </c>
      <c r="J238" s="99">
        <f t="shared" si="20"/>
        <v>0</v>
      </c>
      <c r="K238" s="99">
        <f t="shared" si="17"/>
        <v>-990000</v>
      </c>
    </row>
    <row r="239" spans="1:13">
      <c r="A239" s="99" t="s">
        <v>4400</v>
      </c>
      <c r="B239" s="18">
        <v>-4098523</v>
      </c>
      <c r="C239" s="18">
        <v>0</v>
      </c>
      <c r="D239" s="18">
        <f t="shared" si="18"/>
        <v>-4098523</v>
      </c>
      <c r="E239" s="99" t="s">
        <v>4401</v>
      </c>
      <c r="F239" s="99">
        <v>0</v>
      </c>
      <c r="G239" s="36">
        <f t="shared" si="21"/>
        <v>131</v>
      </c>
      <c r="H239" s="99">
        <f t="shared" si="15"/>
        <v>0</v>
      </c>
      <c r="I239" s="99">
        <f t="shared" si="13"/>
        <v>-536906513</v>
      </c>
      <c r="J239" s="99">
        <f t="shared" si="20"/>
        <v>0</v>
      </c>
      <c r="K239" s="99">
        <f t="shared" si="17"/>
        <v>-536906513</v>
      </c>
    </row>
    <row r="240" spans="1:13">
      <c r="A240" s="99" t="s">
        <v>4402</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4402</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4435</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4437</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4442</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4444</v>
      </c>
      <c r="B245" s="18">
        <v>3000000</v>
      </c>
      <c r="C245" s="18">
        <v>0</v>
      </c>
      <c r="D245" s="18">
        <f t="shared" si="18"/>
        <v>3000000</v>
      </c>
      <c r="E245" s="99" t="s">
        <v>4446</v>
      </c>
      <c r="F245" s="99">
        <v>2</v>
      </c>
      <c r="G245" s="36">
        <f t="shared" si="21"/>
        <v>118</v>
      </c>
      <c r="H245" s="99">
        <f t="shared" si="15"/>
        <v>1</v>
      </c>
      <c r="I245" s="99">
        <f t="shared" si="13"/>
        <v>351000000</v>
      </c>
      <c r="J245" s="99">
        <f t="shared" si="20"/>
        <v>0</v>
      </c>
      <c r="K245" s="99">
        <f t="shared" si="17"/>
        <v>351000000</v>
      </c>
    </row>
    <row r="246" spans="1:13">
      <c r="A246" s="99" t="s">
        <v>4441</v>
      </c>
      <c r="B246" s="18">
        <v>-4040700</v>
      </c>
      <c r="C246" s="18">
        <v>0</v>
      </c>
      <c r="D246" s="18">
        <f t="shared" si="18"/>
        <v>-4040700</v>
      </c>
      <c r="E246" s="99" t="s">
        <v>4479</v>
      </c>
      <c r="F246" s="99">
        <v>0</v>
      </c>
      <c r="G246" s="36">
        <f t="shared" si="21"/>
        <v>116</v>
      </c>
      <c r="H246" s="99">
        <f t="shared" si="15"/>
        <v>0</v>
      </c>
      <c r="I246" s="99">
        <f t="shared" si="13"/>
        <v>-468721200</v>
      </c>
      <c r="J246" s="99">
        <f t="shared" si="20"/>
        <v>0</v>
      </c>
      <c r="K246" s="99">
        <f t="shared" si="17"/>
        <v>-468721200</v>
      </c>
    </row>
    <row r="247" spans="1:13">
      <c r="A247" s="99" t="s">
        <v>4441</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4482</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4482</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4488</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4495</v>
      </c>
      <c r="B253" s="18">
        <v>12000000</v>
      </c>
      <c r="C253" s="18">
        <v>0</v>
      </c>
      <c r="D253" s="18">
        <f t="shared" si="18"/>
        <v>12000000</v>
      </c>
      <c r="E253" s="99" t="s">
        <v>4496</v>
      </c>
      <c r="F253" s="99">
        <v>1</v>
      </c>
      <c r="G253" s="36">
        <f t="shared" si="21"/>
        <v>111</v>
      </c>
      <c r="H253" s="99">
        <f t="shared" si="15"/>
        <v>1</v>
      </c>
      <c r="I253" s="99">
        <f t="shared" si="13"/>
        <v>1320000000</v>
      </c>
      <c r="J253" s="99">
        <f t="shared" si="20"/>
        <v>0</v>
      </c>
      <c r="K253" s="99">
        <f t="shared" si="17"/>
        <v>1320000000</v>
      </c>
    </row>
    <row r="254" spans="1:13">
      <c r="A254" s="99" t="s">
        <v>4497</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4499</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4500</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4500</v>
      </c>
      <c r="B257" s="18">
        <v>0</v>
      </c>
      <c r="C257" s="39">
        <v>-7968789</v>
      </c>
      <c r="D257" s="39">
        <f t="shared" si="18"/>
        <v>7968789</v>
      </c>
      <c r="E257" s="99" t="s">
        <v>4501</v>
      </c>
      <c r="F257" s="99">
        <v>1</v>
      </c>
      <c r="G257" s="36">
        <f t="shared" si="21"/>
        <v>108</v>
      </c>
      <c r="H257" s="99">
        <f t="shared" si="15"/>
        <v>0</v>
      </c>
      <c r="I257" s="99">
        <f t="shared" si="13"/>
        <v>0</v>
      </c>
      <c r="J257" s="99">
        <f t="shared" si="20"/>
        <v>-860629212</v>
      </c>
      <c r="K257" s="99">
        <f t="shared" si="17"/>
        <v>860629212</v>
      </c>
    </row>
    <row r="258" spans="1:13">
      <c r="A258" s="99" t="s">
        <v>4503</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4509</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4510</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4510</v>
      </c>
      <c r="B261" s="18">
        <v>-100500</v>
      </c>
      <c r="C261" s="18">
        <v>0</v>
      </c>
      <c r="D261" s="18">
        <f t="shared" si="18"/>
        <v>-100500</v>
      </c>
      <c r="E261" s="99" t="s">
        <v>4512</v>
      </c>
      <c r="F261" s="99">
        <v>0</v>
      </c>
      <c r="G261" s="36">
        <f t="shared" si="21"/>
        <v>103</v>
      </c>
      <c r="H261" s="99">
        <f t="shared" si="15"/>
        <v>0</v>
      </c>
      <c r="I261" s="99">
        <f t="shared" si="13"/>
        <v>-10351500</v>
      </c>
      <c r="J261" s="99">
        <f t="shared" si="20"/>
        <v>0</v>
      </c>
      <c r="K261" s="99">
        <f t="shared" si="17"/>
        <v>-10351500</v>
      </c>
    </row>
    <row r="262" spans="1:13">
      <c r="A262" s="99" t="s">
        <v>4510</v>
      </c>
      <c r="B262" s="18">
        <v>-68670</v>
      </c>
      <c r="C262" s="18">
        <v>0</v>
      </c>
      <c r="D262" s="18">
        <f t="shared" si="18"/>
        <v>-68670</v>
      </c>
      <c r="E262" s="99" t="s">
        <v>4516</v>
      </c>
      <c r="F262" s="99">
        <v>1</v>
      </c>
      <c r="G262" s="36">
        <f t="shared" si="21"/>
        <v>103</v>
      </c>
      <c r="H262" s="99">
        <f t="shared" si="15"/>
        <v>0</v>
      </c>
      <c r="I262" s="99">
        <f t="shared" si="13"/>
        <v>-7073010</v>
      </c>
      <c r="J262" s="99">
        <f t="shared" si="20"/>
        <v>0</v>
      </c>
      <c r="K262" s="99">
        <f t="shared" si="17"/>
        <v>-7073010</v>
      </c>
    </row>
    <row r="263" spans="1:13">
      <c r="A263" s="99" t="s">
        <v>4513</v>
      </c>
      <c r="B263" s="18">
        <v>-118600</v>
      </c>
      <c r="C263" s="18">
        <v>0</v>
      </c>
      <c r="D263" s="18">
        <f t="shared" si="18"/>
        <v>-118600</v>
      </c>
      <c r="E263" s="99" t="s">
        <v>4401</v>
      </c>
      <c r="F263" s="99">
        <v>2</v>
      </c>
      <c r="G263" s="36">
        <f t="shared" si="21"/>
        <v>102</v>
      </c>
      <c r="H263" s="99">
        <f t="shared" si="15"/>
        <v>0</v>
      </c>
      <c r="I263" s="99">
        <f t="shared" si="13"/>
        <v>-12097200</v>
      </c>
      <c r="J263" s="99">
        <f t="shared" si="20"/>
        <v>0</v>
      </c>
      <c r="K263" s="99">
        <f t="shared" si="17"/>
        <v>-12097200</v>
      </c>
      <c r="L263" t="s">
        <v>25</v>
      </c>
    </row>
    <row r="264" spans="1:13">
      <c r="A264" s="99" t="s">
        <v>4523</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4523</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4523</v>
      </c>
      <c r="B266" s="18">
        <v>-389000</v>
      </c>
      <c r="C266" s="18">
        <v>0</v>
      </c>
      <c r="D266" s="18">
        <f t="shared" si="18"/>
        <v>-389000</v>
      </c>
      <c r="E266" s="99" t="s">
        <v>4526</v>
      </c>
      <c r="F266" s="99">
        <v>4</v>
      </c>
      <c r="G266" s="36">
        <f t="shared" si="21"/>
        <v>100</v>
      </c>
      <c r="H266" s="99">
        <f t="shared" si="15"/>
        <v>0</v>
      </c>
      <c r="I266" s="99">
        <f t="shared" si="13"/>
        <v>-38900000</v>
      </c>
      <c r="J266" s="99">
        <f t="shared" si="20"/>
        <v>0</v>
      </c>
      <c r="K266" s="99">
        <f t="shared" si="17"/>
        <v>-38900000</v>
      </c>
      <c r="M266" t="s">
        <v>25</v>
      </c>
    </row>
    <row r="267" spans="1:13">
      <c r="A267" s="99" t="s">
        <v>4549</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4550</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4553</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4553</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4556</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4556</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4559</v>
      </c>
      <c r="B273" s="18">
        <v>-900000</v>
      </c>
      <c r="C273" s="18">
        <v>0</v>
      </c>
      <c r="D273" s="18">
        <f t="shared" si="18"/>
        <v>-900000</v>
      </c>
      <c r="E273" s="99" t="s">
        <v>4565</v>
      </c>
      <c r="F273" s="99">
        <v>1</v>
      </c>
      <c r="G273" s="36">
        <f t="shared" si="21"/>
        <v>92</v>
      </c>
      <c r="H273" s="99">
        <f t="shared" si="15"/>
        <v>0</v>
      </c>
      <c r="I273" s="99">
        <f t="shared" si="13"/>
        <v>-82800000</v>
      </c>
      <c r="J273" s="99">
        <f t="shared" si="20"/>
        <v>0</v>
      </c>
      <c r="K273" s="99">
        <f t="shared" si="17"/>
        <v>-82800000</v>
      </c>
    </row>
    <row r="274" spans="1:12">
      <c r="A274" s="99" t="s">
        <v>4562</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4562</v>
      </c>
      <c r="B275" s="18">
        <v>-1287000</v>
      </c>
      <c r="C275" s="18">
        <v>0</v>
      </c>
      <c r="D275" s="18">
        <f t="shared" si="18"/>
        <v>-1287000</v>
      </c>
      <c r="E275" s="99" t="s">
        <v>4563</v>
      </c>
      <c r="F275" s="99">
        <v>2</v>
      </c>
      <c r="G275" s="36">
        <f t="shared" si="21"/>
        <v>91</v>
      </c>
      <c r="H275" s="99">
        <f t="shared" si="15"/>
        <v>0</v>
      </c>
      <c r="I275" s="99">
        <f t="shared" si="13"/>
        <v>-117117000</v>
      </c>
      <c r="J275" s="99">
        <f t="shared" si="20"/>
        <v>0</v>
      </c>
      <c r="K275" s="99">
        <f t="shared" si="17"/>
        <v>-117117000</v>
      </c>
    </row>
    <row r="276" spans="1:12">
      <c r="A276" s="99" t="s">
        <v>4560</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4571</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4575</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4576</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4578</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4590</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4590</v>
      </c>
      <c r="B285" s="18">
        <v>-3995000</v>
      </c>
      <c r="C285" s="18">
        <v>0</v>
      </c>
      <c r="D285" s="18">
        <f t="shared" si="18"/>
        <v>-3995000</v>
      </c>
      <c r="E285" s="99" t="s">
        <v>4591</v>
      </c>
      <c r="F285" s="99">
        <v>3</v>
      </c>
      <c r="G285" s="36">
        <f t="shared" si="21"/>
        <v>78</v>
      </c>
      <c r="H285" s="99">
        <f t="shared" si="15"/>
        <v>0</v>
      </c>
      <c r="I285" s="99">
        <f t="shared" si="13"/>
        <v>-311610000</v>
      </c>
      <c r="J285" s="99">
        <f t="shared" si="22"/>
        <v>0</v>
      </c>
      <c r="K285" s="99">
        <f t="shared" si="23"/>
        <v>-311610000</v>
      </c>
    </row>
    <row r="286" spans="1:12">
      <c r="A286" s="99" t="s">
        <v>4599</v>
      </c>
      <c r="B286" s="18">
        <v>-2010700</v>
      </c>
      <c r="C286" s="18">
        <v>0</v>
      </c>
      <c r="D286" s="18">
        <f t="shared" si="18"/>
        <v>-2010700</v>
      </c>
      <c r="E286" s="99" t="s">
        <v>4603</v>
      </c>
      <c r="F286" s="99">
        <v>0</v>
      </c>
      <c r="G286" s="36">
        <f t="shared" si="21"/>
        <v>75</v>
      </c>
      <c r="H286" s="99">
        <f t="shared" si="15"/>
        <v>0</v>
      </c>
      <c r="I286" s="99">
        <f t="shared" si="13"/>
        <v>-150802500</v>
      </c>
      <c r="J286" s="99">
        <f t="shared" si="22"/>
        <v>0</v>
      </c>
      <c r="K286" s="99">
        <f t="shared" si="23"/>
        <v>-150802500</v>
      </c>
    </row>
    <row r="287" spans="1:12">
      <c r="A287" s="99" t="s">
        <v>4599</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4604</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4613</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4618</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4618</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4622</v>
      </c>
      <c r="B293" s="18">
        <v>-96850</v>
      </c>
      <c r="C293" s="18">
        <v>0</v>
      </c>
      <c r="D293" s="18">
        <f t="shared" si="18"/>
        <v>-96850</v>
      </c>
      <c r="E293" s="99" t="s">
        <v>4626</v>
      </c>
      <c r="F293" s="99">
        <v>2</v>
      </c>
      <c r="G293" s="36">
        <f t="shared" si="21"/>
        <v>67</v>
      </c>
      <c r="H293" s="99">
        <f t="shared" si="15"/>
        <v>0</v>
      </c>
      <c r="I293" s="99">
        <f t="shared" si="13"/>
        <v>-6488950</v>
      </c>
      <c r="J293" s="99">
        <f t="shared" si="22"/>
        <v>0</v>
      </c>
      <c r="K293" s="99">
        <f t="shared" si="23"/>
        <v>-6488950</v>
      </c>
    </row>
    <row r="294" spans="1:13">
      <c r="A294" s="99" t="s">
        <v>4628</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4628</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4642</v>
      </c>
      <c r="B296" s="18">
        <v>-200000</v>
      </c>
      <c r="C296" s="18">
        <v>0</v>
      </c>
      <c r="D296" s="18">
        <f t="shared" si="18"/>
        <v>-200000</v>
      </c>
      <c r="E296" s="99" t="s">
        <v>4643</v>
      </c>
      <c r="F296" s="99">
        <v>3</v>
      </c>
      <c r="G296" s="36">
        <f t="shared" si="21"/>
        <v>64</v>
      </c>
      <c r="H296" s="99">
        <f t="shared" si="15"/>
        <v>0</v>
      </c>
      <c r="I296" s="99">
        <f t="shared" si="13"/>
        <v>-12800000</v>
      </c>
      <c r="J296" s="99">
        <f t="shared" si="22"/>
        <v>0</v>
      </c>
      <c r="K296" s="99">
        <f t="shared" si="23"/>
        <v>-12800000</v>
      </c>
    </row>
    <row r="297" spans="1:13">
      <c r="A297" s="99" t="s">
        <v>4652</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4656</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4656</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4656</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4656</v>
      </c>
      <c r="B301" s="18">
        <v>-51400</v>
      </c>
      <c r="C301" s="18">
        <v>0</v>
      </c>
      <c r="D301" s="18">
        <f t="shared" si="18"/>
        <v>-51400</v>
      </c>
      <c r="E301" s="99" t="s">
        <v>4662</v>
      </c>
      <c r="F301" s="99">
        <v>1</v>
      </c>
      <c r="G301" s="36">
        <f t="shared" si="27"/>
        <v>60</v>
      </c>
      <c r="H301" s="99">
        <f t="shared" si="15"/>
        <v>0</v>
      </c>
      <c r="I301" s="99">
        <f t="shared" si="24"/>
        <v>-3084000</v>
      </c>
      <c r="J301" s="99">
        <f t="shared" si="25"/>
        <v>0</v>
      </c>
      <c r="K301" s="99">
        <f t="shared" si="26"/>
        <v>-3084000</v>
      </c>
    </row>
    <row r="302" spans="1:13">
      <c r="A302" s="99" t="s">
        <v>4665</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4665</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4681</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4681</v>
      </c>
      <c r="B305" s="18">
        <v>-276773</v>
      </c>
      <c r="C305" s="18">
        <v>0</v>
      </c>
      <c r="D305" s="18">
        <f t="shared" si="18"/>
        <v>-276773</v>
      </c>
      <c r="E305" s="99" t="s">
        <v>4684</v>
      </c>
      <c r="F305" s="99">
        <v>2</v>
      </c>
      <c r="G305" s="36">
        <f t="shared" si="27"/>
        <v>57</v>
      </c>
      <c r="H305" s="99">
        <f t="shared" si="15"/>
        <v>0</v>
      </c>
      <c r="I305" s="99">
        <f t="shared" si="24"/>
        <v>-15776061</v>
      </c>
      <c r="J305" s="99">
        <f t="shared" si="25"/>
        <v>0</v>
      </c>
      <c r="K305" s="99">
        <f t="shared" si="26"/>
        <v>-15776061</v>
      </c>
    </row>
    <row r="306" spans="1:13">
      <c r="A306" s="99" t="s">
        <v>4685</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4695</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4701</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4701</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4710</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4703</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4704</v>
      </c>
      <c r="B312" s="18">
        <v>-324747</v>
      </c>
      <c r="C312" s="18">
        <v>0</v>
      </c>
      <c r="D312" s="18">
        <f t="shared" si="18"/>
        <v>-324747</v>
      </c>
      <c r="E312" s="99" t="s">
        <v>4711</v>
      </c>
      <c r="F312" s="99">
        <v>3</v>
      </c>
      <c r="G312" s="36">
        <f t="shared" si="28"/>
        <v>44</v>
      </c>
      <c r="H312" s="99">
        <f t="shared" si="29"/>
        <v>0</v>
      </c>
      <c r="I312" s="99">
        <f t="shared" si="30"/>
        <v>-14288868</v>
      </c>
      <c r="J312" s="99">
        <f t="shared" si="31"/>
        <v>0</v>
      </c>
      <c r="K312" s="99">
        <f t="shared" si="32"/>
        <v>-14288868</v>
      </c>
      <c r="M312" t="s">
        <v>25</v>
      </c>
    </row>
    <row r="313" spans="1:13">
      <c r="A313" s="99" t="s">
        <v>4718</v>
      </c>
      <c r="B313" s="18">
        <v>-297992</v>
      </c>
      <c r="C313" s="18">
        <v>0</v>
      </c>
      <c r="D313" s="18">
        <f t="shared" si="18"/>
        <v>-297992</v>
      </c>
      <c r="E313" s="99" t="s">
        <v>4719</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4727</v>
      </c>
      <c r="B315" s="18">
        <v>-40000</v>
      </c>
      <c r="C315" s="18">
        <v>0</v>
      </c>
      <c r="D315" s="18">
        <f t="shared" si="18"/>
        <v>-40000</v>
      </c>
      <c r="E315" s="99" t="s">
        <v>4735</v>
      </c>
      <c r="F315" s="99">
        <v>4</v>
      </c>
      <c r="G315" s="36">
        <f t="shared" si="28"/>
        <v>38</v>
      </c>
      <c r="H315" s="99">
        <f t="shared" si="29"/>
        <v>0</v>
      </c>
      <c r="I315" s="99">
        <f t="shared" si="30"/>
        <v>-1520000</v>
      </c>
      <c r="J315" s="99">
        <f t="shared" si="31"/>
        <v>0</v>
      </c>
      <c r="K315" s="99">
        <f t="shared" si="32"/>
        <v>-1520000</v>
      </c>
    </row>
    <row r="316" spans="1:13">
      <c r="A316" s="99" t="s">
        <v>4740</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4761</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4769</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4769</v>
      </c>
      <c r="B319" s="18">
        <v>-1866154</v>
      </c>
      <c r="C319" s="18">
        <v>0</v>
      </c>
      <c r="D319" s="18">
        <f t="shared" si="18"/>
        <v>-1866154</v>
      </c>
      <c r="E319" s="19" t="s">
        <v>4775</v>
      </c>
      <c r="F319" s="99">
        <v>0</v>
      </c>
      <c r="G319" s="36">
        <f t="shared" si="28"/>
        <v>29</v>
      </c>
      <c r="H319" s="99">
        <f t="shared" si="29"/>
        <v>0</v>
      </c>
      <c r="I319" s="99">
        <f t="shared" si="30"/>
        <v>-54118466</v>
      </c>
      <c r="J319" s="99">
        <f t="shared" si="31"/>
        <v>0</v>
      </c>
      <c r="K319" s="99">
        <f t="shared" si="32"/>
        <v>-54118466</v>
      </c>
    </row>
    <row r="320" spans="1:13">
      <c r="A320" s="11" t="s">
        <v>4769</v>
      </c>
      <c r="B320" s="18">
        <v>-36600</v>
      </c>
      <c r="C320" s="18">
        <v>0</v>
      </c>
      <c r="D320" s="18">
        <f t="shared" si="18"/>
        <v>-36600</v>
      </c>
      <c r="E320" s="99" t="s">
        <v>4776</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4777</v>
      </c>
      <c r="B321" s="18">
        <v>-492000</v>
      </c>
      <c r="C321" s="18">
        <v>0</v>
      </c>
      <c r="D321" s="18">
        <f t="shared" si="18"/>
        <v>-492000</v>
      </c>
      <c r="E321" s="99" t="s">
        <v>4778</v>
      </c>
      <c r="F321" s="99">
        <v>0</v>
      </c>
      <c r="G321" s="36">
        <f t="shared" si="33"/>
        <v>28</v>
      </c>
      <c r="H321" s="99">
        <f t="shared" si="34"/>
        <v>0</v>
      </c>
      <c r="I321" s="99">
        <f t="shared" si="35"/>
        <v>-13776000</v>
      </c>
      <c r="J321" s="99">
        <f t="shared" si="36"/>
        <v>0</v>
      </c>
      <c r="K321" s="99">
        <f t="shared" si="37"/>
        <v>-13776000</v>
      </c>
      <c r="M321" t="s">
        <v>25</v>
      </c>
    </row>
    <row r="322" spans="1:14">
      <c r="A322" s="99" t="s">
        <v>4777</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4777</v>
      </c>
      <c r="B323" s="18">
        <v>-40000</v>
      </c>
      <c r="C323" s="18">
        <v>0</v>
      </c>
      <c r="D323" s="18">
        <f t="shared" si="18"/>
        <v>-40000</v>
      </c>
      <c r="E323" s="99" t="s">
        <v>4780</v>
      </c>
      <c r="F323" s="99">
        <v>1</v>
      </c>
      <c r="G323" s="36">
        <f t="shared" si="33"/>
        <v>28</v>
      </c>
      <c r="H323" s="99">
        <f t="shared" si="34"/>
        <v>0</v>
      </c>
      <c r="I323" s="99">
        <f t="shared" si="35"/>
        <v>-1120000</v>
      </c>
      <c r="J323" s="99">
        <f t="shared" si="36"/>
        <v>0</v>
      </c>
      <c r="K323" s="99">
        <f t="shared" si="37"/>
        <v>-1120000</v>
      </c>
    </row>
    <row r="324" spans="1:14">
      <c r="A324" s="99" t="s">
        <v>4781</v>
      </c>
      <c r="B324" s="18">
        <v>-66000</v>
      </c>
      <c r="C324" s="18">
        <v>0</v>
      </c>
      <c r="D324" s="18">
        <f t="shared" si="18"/>
        <v>-66000</v>
      </c>
      <c r="E324" s="99" t="s">
        <v>4780</v>
      </c>
      <c r="F324" s="99">
        <v>1</v>
      </c>
      <c r="G324" s="36">
        <f t="shared" si="33"/>
        <v>27</v>
      </c>
      <c r="H324" s="99">
        <f t="shared" si="34"/>
        <v>0</v>
      </c>
      <c r="I324" s="99">
        <f t="shared" si="35"/>
        <v>-1782000</v>
      </c>
      <c r="J324" s="99">
        <f t="shared" si="36"/>
        <v>0</v>
      </c>
      <c r="K324" s="99">
        <f t="shared" si="37"/>
        <v>-1782000</v>
      </c>
    </row>
    <row r="325" spans="1:14">
      <c r="A325" s="99" t="s">
        <v>4782</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4782</v>
      </c>
      <c r="B326" s="18">
        <v>-200500</v>
      </c>
      <c r="C326" s="18">
        <v>0</v>
      </c>
      <c r="D326" s="18">
        <f t="shared" si="18"/>
        <v>-200500</v>
      </c>
      <c r="E326" s="99" t="s">
        <v>4783</v>
      </c>
      <c r="F326" s="99">
        <v>2</v>
      </c>
      <c r="G326" s="36">
        <f t="shared" si="33"/>
        <v>26</v>
      </c>
      <c r="H326" s="99">
        <f t="shared" si="34"/>
        <v>0</v>
      </c>
      <c r="I326" s="99">
        <f t="shared" si="35"/>
        <v>-5213000</v>
      </c>
      <c r="J326" s="99">
        <f t="shared" si="36"/>
        <v>0</v>
      </c>
      <c r="K326" s="99">
        <f t="shared" si="37"/>
        <v>-5213000</v>
      </c>
      <c r="M326" t="s">
        <v>25</v>
      </c>
    </row>
    <row r="327" spans="1:14">
      <c r="A327" s="99" t="s">
        <v>4787</v>
      </c>
      <c r="B327" s="18">
        <v>1563000</v>
      </c>
      <c r="C327" s="18">
        <v>0</v>
      </c>
      <c r="D327" s="18">
        <f t="shared" si="18"/>
        <v>1563000</v>
      </c>
      <c r="E327" s="99" t="s">
        <v>4792</v>
      </c>
      <c r="F327" s="99">
        <v>0</v>
      </c>
      <c r="G327" s="36">
        <f t="shared" si="33"/>
        <v>24</v>
      </c>
      <c r="H327" s="99">
        <f t="shared" si="34"/>
        <v>1</v>
      </c>
      <c r="I327" s="99">
        <f t="shared" si="35"/>
        <v>35949000</v>
      </c>
      <c r="J327" s="99">
        <f t="shared" si="36"/>
        <v>0</v>
      </c>
      <c r="K327" s="99">
        <f t="shared" si="37"/>
        <v>35949000</v>
      </c>
    </row>
    <row r="328" spans="1:14">
      <c r="A328" s="99" t="s">
        <v>4787</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4801</v>
      </c>
      <c r="B329" s="18">
        <v>-20000</v>
      </c>
      <c r="C329" s="18">
        <v>0</v>
      </c>
      <c r="D329" s="18">
        <f t="shared" si="18"/>
        <v>-20000</v>
      </c>
      <c r="E329" s="99" t="s">
        <v>4805</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4816</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4821</v>
      </c>
      <c r="F331" s="99">
        <v>2</v>
      </c>
      <c r="G331" s="36">
        <f t="shared" si="33"/>
        <v>19</v>
      </c>
      <c r="H331" s="99">
        <f t="shared" si="34"/>
        <v>0</v>
      </c>
      <c r="I331" s="99">
        <f t="shared" si="35"/>
        <v>-15019500</v>
      </c>
      <c r="J331" s="99">
        <f t="shared" si="36"/>
        <v>0</v>
      </c>
      <c r="K331" s="99">
        <f t="shared" si="37"/>
        <v>-15019500</v>
      </c>
    </row>
    <row r="332" spans="1:14">
      <c r="A332" s="99" t="s">
        <v>4825</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4834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4838</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4838</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4838</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4840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4840</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4841</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4841</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4846</v>
      </c>
      <c r="B341" s="18">
        <v>433375</v>
      </c>
      <c r="C341" s="18">
        <v>0</v>
      </c>
      <c r="D341" s="18">
        <f t="shared" si="18"/>
        <v>433375</v>
      </c>
      <c r="E341" s="99" t="s">
        <v>4849</v>
      </c>
      <c r="F341" s="99">
        <v>1</v>
      </c>
      <c r="G341" s="36">
        <f t="shared" si="38"/>
        <v>11</v>
      </c>
      <c r="H341" s="99">
        <f t="shared" si="39"/>
        <v>1</v>
      </c>
      <c r="I341" s="99">
        <f t="shared" si="40"/>
        <v>4333750</v>
      </c>
      <c r="J341" s="99">
        <f t="shared" si="41"/>
        <v>0</v>
      </c>
      <c r="K341" s="99">
        <f t="shared" si="42"/>
        <v>4333750</v>
      </c>
      <c r="M341" t="s">
        <v>25</v>
      </c>
    </row>
    <row r="342" spans="1:13">
      <c r="A342" s="99" t="s">
        <v>4855</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4855</v>
      </c>
      <c r="B343" s="18">
        <v>-300000</v>
      </c>
      <c r="C343" s="18">
        <v>0</v>
      </c>
      <c r="D343" s="18">
        <f t="shared" si="18"/>
        <v>-300000</v>
      </c>
      <c r="E343" s="99" t="s">
        <v>4858</v>
      </c>
      <c r="F343" s="99">
        <v>0</v>
      </c>
      <c r="G343" s="36">
        <f t="shared" si="43"/>
        <v>10</v>
      </c>
      <c r="H343" s="99">
        <f t="shared" si="44"/>
        <v>0</v>
      </c>
      <c r="I343" s="99">
        <f t="shared" si="45"/>
        <v>-3000000</v>
      </c>
      <c r="J343" s="99">
        <f t="shared" si="46"/>
        <v>0</v>
      </c>
      <c r="K343" s="99">
        <f t="shared" si="47"/>
        <v>-3000000</v>
      </c>
    </row>
    <row r="344" spans="1:13">
      <c r="A344" s="99" t="s">
        <v>4855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4861</v>
      </c>
      <c r="F345" s="99">
        <v>3</v>
      </c>
      <c r="G345" s="36">
        <f t="shared" si="43"/>
        <v>9</v>
      </c>
      <c r="H345" s="99">
        <f t="shared" si="44"/>
        <v>0</v>
      </c>
      <c r="I345" s="99">
        <f t="shared" si="45"/>
        <v>-12759543</v>
      </c>
      <c r="J345" s="99">
        <f t="shared" si="46"/>
        <v>0</v>
      </c>
      <c r="K345" s="99">
        <f t="shared" si="47"/>
        <v>-12759543</v>
      </c>
      <c r="L345" t="s">
        <v>25</v>
      </c>
    </row>
    <row r="346" spans="1:13">
      <c r="A346" s="99" t="s">
        <v>4867</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4864</v>
      </c>
      <c r="B347" s="18">
        <v>-960200</v>
      </c>
      <c r="C347" s="18">
        <v>0</v>
      </c>
      <c r="D347" s="18">
        <f t="shared" si="18"/>
        <v>-960200</v>
      </c>
      <c r="E347" s="99" t="s">
        <v>4868</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2" t="s">
        <v>4221</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4230</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984</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993</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986</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998</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989</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991</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4223</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4232</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4227</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4235</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4280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1003</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1004</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995</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996</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22" sqref="A2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4" t="s">
        <v>5055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5130</v>
      </c>
      <c r="X20">
        <v>9194342556</v>
      </c>
      <c r="Y20" s="96"/>
      <c r="Z20" s="96"/>
      <c r="AB20" s="96"/>
      <c r="AC20" s="96"/>
      <c r="AD20" s="96"/>
      <c r="AE20" s="96"/>
      <c r="AF20" s="96"/>
      <c r="AG20" s="96"/>
      <c r="AH20" s="96"/>
      <c r="AI20" s="96"/>
    </row>
    <row r="21" spans="5:35">
      <c r="O21" s="99"/>
      <c r="P21" s="99"/>
      <c r="Q21" s="271" t="s">
        <v>1089</v>
      </c>
      <c r="R21" s="271"/>
      <c r="S21" s="271"/>
      <c r="T21" s="271"/>
      <c r="U21" s="96"/>
      <c r="V21" s="96"/>
      <c r="W21" t="s">
        <v>5129</v>
      </c>
      <c r="X21">
        <v>9035210431</v>
      </c>
      <c r="Y21" s="96"/>
      <c r="Z21" s="96"/>
    </row>
    <row r="22" spans="5:35">
      <c r="O22" s="99"/>
      <c r="P22" s="99"/>
      <c r="Q22" s="271"/>
      <c r="R22" s="271"/>
      <c r="S22" s="271"/>
      <c r="T22" s="271"/>
      <c r="U22" s="96"/>
      <c r="V22" s="96"/>
      <c r="W22" s="96"/>
      <c r="X22" s="96"/>
      <c r="Y22" s="96"/>
      <c r="Z22" s="96"/>
    </row>
    <row r="23" spans="5:35" ht="15.75">
      <c r="O23" s="178"/>
      <c r="P23" s="99" t="s">
        <v>4086</v>
      </c>
      <c r="Q23" s="272" t="s">
        <v>1090</v>
      </c>
      <c r="R23" s="273" t="s">
        <v>1091</v>
      </c>
      <c r="S23" s="272" t="s">
        <v>1092</v>
      </c>
      <c r="T23" s="274" t="s">
        <v>1093</v>
      </c>
      <c r="AD23" t="s">
        <v>25</v>
      </c>
    </row>
    <row r="24" spans="5:35">
      <c r="O24" s="99"/>
      <c r="P24" s="99"/>
      <c r="Q24" s="272"/>
      <c r="R24" s="273"/>
      <c r="S24" s="272"/>
      <c r="T24" s="274"/>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4202</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4540</v>
      </c>
      <c r="B1" t="s">
        <v>4543</v>
      </c>
      <c r="C1" t="s">
        <v>4544</v>
      </c>
    </row>
    <row r="2" spans="1:3">
      <c r="A2" t="s">
        <v>4541</v>
      </c>
      <c r="B2" t="s">
        <v>4545</v>
      </c>
      <c r="C2" t="s">
        <v>4546</v>
      </c>
    </row>
    <row r="3" spans="1:3">
      <c r="A3" t="s">
        <v>4542</v>
      </c>
      <c r="B3" t="s">
        <v>4544</v>
      </c>
      <c r="C3" t="s">
        <v>4547</v>
      </c>
    </row>
    <row r="5" spans="1:3">
      <c r="A5" t="s">
        <v>4777</v>
      </c>
      <c r="B5" t="s">
        <v>4794</v>
      </c>
    </row>
    <row r="6" spans="1:3">
      <c r="A6" t="s">
        <v>4787</v>
      </c>
      <c r="B6" t="s">
        <v>4795</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4723</v>
      </c>
      <c r="C1" s="99" t="s">
        <v>3935</v>
      </c>
      <c r="D1" s="99" t="s">
        <v>8</v>
      </c>
      <c r="E1" s="96"/>
      <c r="F1" s="96"/>
      <c r="G1" s="96"/>
    </row>
    <row r="2" spans="1:7">
      <c r="A2" s="99" t="s">
        <v>4714</v>
      </c>
      <c r="B2" s="95">
        <v>10300</v>
      </c>
      <c r="C2" s="95">
        <v>0</v>
      </c>
      <c r="D2" s="99" t="s">
        <v>4724</v>
      </c>
      <c r="E2" s="96"/>
      <c r="F2" s="96"/>
      <c r="G2" s="96"/>
    </row>
    <row r="3" spans="1:7">
      <c r="A3" s="99" t="s">
        <v>4714</v>
      </c>
      <c r="B3" s="95">
        <v>0</v>
      </c>
      <c r="C3" s="95">
        <v>5500</v>
      </c>
      <c r="D3" s="99" t="s">
        <v>4725</v>
      </c>
      <c r="E3" s="96"/>
      <c r="F3" s="96"/>
      <c r="G3" s="96"/>
    </row>
    <row r="4" spans="1:7">
      <c r="A4" s="99" t="s">
        <v>3684</v>
      </c>
      <c r="B4" s="95">
        <v>0</v>
      </c>
      <c r="C4" s="95">
        <v>1000</v>
      </c>
      <c r="D4" s="99" t="s">
        <v>315</v>
      </c>
      <c r="E4" s="96"/>
      <c r="F4" s="96"/>
      <c r="G4" s="96"/>
    </row>
    <row r="5" spans="1:7">
      <c r="A5" s="99" t="s">
        <v>4731</v>
      </c>
      <c r="B5" s="95">
        <v>0</v>
      </c>
      <c r="C5" s="95">
        <v>1000</v>
      </c>
      <c r="D5" s="99" t="s">
        <v>315</v>
      </c>
      <c r="E5" s="96"/>
      <c r="F5" s="96"/>
      <c r="G5" s="96"/>
    </row>
    <row r="6" spans="1:7">
      <c r="A6" s="99" t="s">
        <v>4743</v>
      </c>
      <c r="B6" s="95">
        <v>0</v>
      </c>
      <c r="C6" s="95">
        <v>3000</v>
      </c>
      <c r="D6" s="99" t="s">
        <v>4747</v>
      </c>
      <c r="E6" s="96"/>
      <c r="F6" s="96"/>
      <c r="G6" s="96"/>
    </row>
    <row r="7" spans="1:7">
      <c r="A7" s="99" t="s">
        <v>4743</v>
      </c>
      <c r="B7" s="95">
        <v>9200</v>
      </c>
      <c r="C7" s="95">
        <v>0</v>
      </c>
      <c r="D7" s="99" t="s">
        <v>4724</v>
      </c>
      <c r="E7" s="96"/>
      <c r="F7" s="96"/>
      <c r="G7" s="96"/>
    </row>
    <row r="8" spans="1:7">
      <c r="A8" s="99" t="s">
        <v>4745</v>
      </c>
      <c r="B8" s="95">
        <v>0</v>
      </c>
      <c r="C8" s="95">
        <v>1000</v>
      </c>
      <c r="D8" s="99" t="s">
        <v>315</v>
      </c>
      <c r="E8" s="96"/>
      <c r="F8" s="96"/>
      <c r="G8" s="96"/>
    </row>
    <row r="9" spans="1:7">
      <c r="A9" s="99" t="s">
        <v>4753</v>
      </c>
      <c r="B9" s="99">
        <v>0</v>
      </c>
      <c r="C9" s="99">
        <v>1000</v>
      </c>
      <c r="D9" s="99" t="s">
        <v>315</v>
      </c>
      <c r="E9" s="96"/>
      <c r="F9" s="96"/>
      <c r="G9" s="96"/>
    </row>
    <row r="10" spans="1:7">
      <c r="A10" s="99" t="s">
        <v>4753</v>
      </c>
      <c r="B10" s="95">
        <v>10200</v>
      </c>
      <c r="C10" s="95">
        <v>0</v>
      </c>
      <c r="D10" s="99" t="s">
        <v>4724</v>
      </c>
      <c r="E10" s="96"/>
      <c r="F10" s="96"/>
      <c r="G10" s="96"/>
    </row>
    <row r="11" spans="1:7">
      <c r="A11" s="99" t="s">
        <v>4769</v>
      </c>
      <c r="B11" s="95">
        <v>0</v>
      </c>
      <c r="C11" s="95">
        <v>1000</v>
      </c>
      <c r="D11" s="99" t="s">
        <v>315</v>
      </c>
      <c r="E11" s="96"/>
      <c r="F11" s="96"/>
      <c r="G11" s="96"/>
    </row>
    <row r="12" spans="1:7">
      <c r="A12" s="99" t="s">
        <v>4786</v>
      </c>
      <c r="B12" s="95">
        <v>0</v>
      </c>
      <c r="C12" s="95">
        <v>1000</v>
      </c>
      <c r="D12" s="99" t="s">
        <v>315</v>
      </c>
      <c r="E12" s="96"/>
      <c r="F12" s="96"/>
      <c r="G12" s="96"/>
    </row>
    <row r="13" spans="1:7">
      <c r="A13" s="99" t="s">
        <v>4787</v>
      </c>
      <c r="B13" s="95">
        <v>0</v>
      </c>
      <c r="C13" s="95">
        <v>1000</v>
      </c>
      <c r="D13" s="99" t="s">
        <v>315</v>
      </c>
      <c r="E13" s="96"/>
      <c r="F13" s="96"/>
      <c r="G13" s="96"/>
    </row>
    <row r="14" spans="1:7">
      <c r="A14" s="99" t="s">
        <v>4818</v>
      </c>
      <c r="B14" s="95">
        <v>0</v>
      </c>
      <c r="C14" s="95">
        <v>1000</v>
      </c>
      <c r="D14" s="99" t="s">
        <v>315</v>
      </c>
      <c r="E14" s="96"/>
      <c r="F14" s="96"/>
      <c r="G14" s="96"/>
    </row>
    <row r="15" spans="1:7">
      <c r="A15" s="99" t="s">
        <v>4801</v>
      </c>
      <c r="B15" s="95">
        <v>0</v>
      </c>
      <c r="C15" s="95">
        <v>1000</v>
      </c>
      <c r="D15" s="99" t="s">
        <v>315</v>
      </c>
      <c r="E15" s="96"/>
      <c r="F15" s="96"/>
      <c r="G15" s="96"/>
    </row>
    <row r="16" spans="1:7">
      <c r="A16" s="99" t="s">
        <v>974</v>
      </c>
      <c r="B16" s="95">
        <v>10200</v>
      </c>
      <c r="C16" s="95">
        <v>0</v>
      </c>
      <c r="D16" s="99" t="s">
        <v>4724</v>
      </c>
      <c r="E16" s="96"/>
      <c r="F16" s="96"/>
      <c r="G16" s="96"/>
    </row>
    <row r="17" spans="1:9">
      <c r="A17" s="99" t="s">
        <v>974</v>
      </c>
      <c r="B17" s="95">
        <v>0</v>
      </c>
      <c r="C17" s="95">
        <v>1500</v>
      </c>
      <c r="D17" s="99" t="s">
        <v>315</v>
      </c>
      <c r="E17" s="96"/>
      <c r="F17" s="96"/>
      <c r="G17" s="96"/>
    </row>
    <row r="18" spans="1:9">
      <c r="A18" s="99" t="s">
        <v>4823</v>
      </c>
      <c r="B18" s="95">
        <v>0</v>
      </c>
      <c r="C18" s="95">
        <v>1000</v>
      </c>
      <c r="D18" s="99" t="s">
        <v>315</v>
      </c>
      <c r="E18" s="96"/>
      <c r="F18" s="96"/>
      <c r="G18" s="96"/>
    </row>
    <row r="19" spans="1:9">
      <c r="A19" s="99" t="s">
        <v>4825</v>
      </c>
      <c r="B19" s="95">
        <v>0</v>
      </c>
      <c r="C19" s="95">
        <v>1000</v>
      </c>
      <c r="D19" s="99" t="s">
        <v>315</v>
      </c>
      <c r="E19" s="96"/>
      <c r="F19" s="96"/>
      <c r="G19" s="96"/>
    </row>
    <row r="20" spans="1:9">
      <c r="A20" s="99" t="s">
        <v>4827</v>
      </c>
      <c r="B20" s="95">
        <v>0</v>
      </c>
      <c r="C20" s="95">
        <v>1000</v>
      </c>
      <c r="D20" s="99" t="s">
        <v>315</v>
      </c>
      <c r="E20" s="96"/>
      <c r="F20" s="96"/>
      <c r="G20" s="96"/>
    </row>
    <row r="21" spans="1:9">
      <c r="A21" s="99" t="s">
        <v>4834</v>
      </c>
      <c r="B21" s="95">
        <v>0</v>
      </c>
      <c r="C21" s="95">
        <v>1000</v>
      </c>
      <c r="D21" s="99" t="s">
        <v>315</v>
      </c>
      <c r="E21" s="96"/>
      <c r="F21" s="96"/>
      <c r="G21" s="96"/>
    </row>
    <row r="22" spans="1:9">
      <c r="A22" s="99" t="s">
        <v>4834</v>
      </c>
      <c r="B22" s="95">
        <v>9600</v>
      </c>
      <c r="C22" s="95">
        <v>0</v>
      </c>
      <c r="D22" s="99" t="s">
        <v>4724</v>
      </c>
      <c r="E22" s="96"/>
      <c r="F22" s="96"/>
      <c r="G22" s="96"/>
      <c r="I22" t="s">
        <v>25</v>
      </c>
    </row>
    <row r="23" spans="1:9">
      <c r="A23" s="99" t="s">
        <v>4841</v>
      </c>
      <c r="B23" s="95">
        <v>0</v>
      </c>
      <c r="C23" s="95">
        <v>1000</v>
      </c>
      <c r="D23" s="99" t="s">
        <v>315</v>
      </c>
      <c r="E23" s="96"/>
      <c r="F23" s="96"/>
      <c r="G23" s="96"/>
    </row>
    <row r="24" spans="1:9">
      <c r="A24" s="99" t="s">
        <v>4846</v>
      </c>
      <c r="B24" s="95">
        <v>0</v>
      </c>
      <c r="C24" s="95">
        <v>1000</v>
      </c>
      <c r="D24" s="99" t="s">
        <v>315</v>
      </c>
      <c r="E24" s="96"/>
      <c r="F24" s="96"/>
      <c r="G24" s="96"/>
    </row>
    <row r="25" spans="1:9">
      <c r="A25" s="99" t="s">
        <v>4855</v>
      </c>
      <c r="B25" s="95">
        <v>0</v>
      </c>
      <c r="C25" s="95">
        <v>1000</v>
      </c>
      <c r="D25" s="99" t="s">
        <v>315</v>
      </c>
    </row>
    <row r="26" spans="1:9">
      <c r="A26" s="99" t="s">
        <v>4885</v>
      </c>
      <c r="B26" s="95">
        <v>0</v>
      </c>
      <c r="C26" s="95">
        <v>12000</v>
      </c>
      <c r="D26" s="99" t="s">
        <v>4894</v>
      </c>
    </row>
    <row r="27" spans="1:9">
      <c r="A27" s="99" t="s">
        <v>4886</v>
      </c>
      <c r="B27" s="95">
        <v>0</v>
      </c>
      <c r="C27" s="95">
        <v>1000</v>
      </c>
      <c r="D27" s="99" t="s">
        <v>315</v>
      </c>
    </row>
    <row r="28" spans="1:9">
      <c r="A28" s="99" t="s">
        <v>4895</v>
      </c>
      <c r="B28" s="95">
        <v>0</v>
      </c>
      <c r="C28" s="95">
        <v>1000</v>
      </c>
      <c r="D28" s="99" t="s">
        <v>315</v>
      </c>
    </row>
    <row r="29" spans="1:9">
      <c r="A29" s="99" t="s">
        <v>4897</v>
      </c>
      <c r="B29" s="95">
        <v>0</v>
      </c>
      <c r="C29" s="95">
        <v>1000</v>
      </c>
      <c r="D29" s="99" t="s">
        <v>315</v>
      </c>
    </row>
    <row r="30" spans="1:9">
      <c r="A30" s="99" t="s">
        <v>4898</v>
      </c>
      <c r="B30" s="95">
        <v>0</v>
      </c>
      <c r="C30" s="95">
        <v>5500</v>
      </c>
      <c r="D30" s="99" t="s">
        <v>4725</v>
      </c>
    </row>
    <row r="31" spans="1:9">
      <c r="A31" s="99" t="s">
        <v>4898</v>
      </c>
      <c r="B31" s="95">
        <v>11000</v>
      </c>
      <c r="C31" s="95">
        <v>0</v>
      </c>
      <c r="D31" s="99" t="s">
        <v>4724</v>
      </c>
    </row>
    <row r="32" spans="1:9">
      <c r="A32" s="99" t="s">
        <v>4906</v>
      </c>
      <c r="B32" s="95">
        <v>0</v>
      </c>
      <c r="C32" s="95">
        <v>1000</v>
      </c>
      <c r="D32" s="99" t="s">
        <v>315</v>
      </c>
      <c r="H32" t="s">
        <v>25</v>
      </c>
    </row>
    <row r="33" spans="1:10">
      <c r="A33" s="99" t="s">
        <v>4909</v>
      </c>
      <c r="B33" s="95">
        <v>0</v>
      </c>
      <c r="C33" s="95">
        <v>1000</v>
      </c>
      <c r="D33" s="99" t="s">
        <v>315</v>
      </c>
      <c r="H33" t="s">
        <v>25</v>
      </c>
    </row>
    <row r="34" spans="1:10">
      <c r="A34" s="99" t="s">
        <v>4911</v>
      </c>
      <c r="B34" s="95">
        <v>0</v>
      </c>
      <c r="C34" s="95">
        <v>1000</v>
      </c>
      <c r="D34" s="99" t="s">
        <v>315</v>
      </c>
    </row>
    <row r="35" spans="1:10">
      <c r="A35" s="99" t="s">
        <v>4912</v>
      </c>
      <c r="B35" s="95">
        <v>0</v>
      </c>
      <c r="C35" s="95">
        <v>1000</v>
      </c>
      <c r="D35" s="99" t="s">
        <v>315</v>
      </c>
      <c r="J35" t="s">
        <v>25</v>
      </c>
    </row>
    <row r="36" spans="1:10">
      <c r="A36" s="99" t="s">
        <v>4917</v>
      </c>
      <c r="B36" s="95">
        <v>1000</v>
      </c>
      <c r="C36" s="95">
        <v>0</v>
      </c>
      <c r="D36" s="99" t="s">
        <v>315</v>
      </c>
    </row>
    <row r="37" spans="1:10">
      <c r="A37" s="99" t="s">
        <v>4917</v>
      </c>
      <c r="B37" s="95">
        <v>0</v>
      </c>
      <c r="C37" s="95">
        <v>11200</v>
      </c>
      <c r="D37" s="99" t="s">
        <v>4724</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4745</v>
      </c>
      <c r="B48" s="224">
        <v>6700</v>
      </c>
      <c r="C48" s="224">
        <v>0</v>
      </c>
      <c r="D48" s="23" t="s">
        <v>4748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4571</v>
      </c>
      <c r="B73" s="113">
        <v>100000</v>
      </c>
      <c r="C73" s="99" t="s">
        <v>3891</v>
      </c>
      <c r="D73" s="99">
        <v>50</v>
      </c>
      <c r="E73" s="99">
        <f t="shared" si="3"/>
        <v>52</v>
      </c>
      <c r="F73" s="99">
        <f t="shared" si="1"/>
        <v>1</v>
      </c>
      <c r="G73" s="99">
        <f t="shared" si="2"/>
        <v>5100000</v>
      </c>
    </row>
    <row r="74" spans="1:9">
      <c r="A74" s="99" t="s">
        <v>4727</v>
      </c>
      <c r="B74" s="113">
        <v>-38130</v>
      </c>
      <c r="C74" s="99" t="s">
        <v>1039</v>
      </c>
      <c r="D74" s="99">
        <v>1</v>
      </c>
      <c r="E74" s="99">
        <f t="shared" si="3"/>
        <v>2</v>
      </c>
      <c r="F74" s="99">
        <f t="shared" si="1"/>
        <v>0</v>
      </c>
      <c r="G74" s="99">
        <f t="shared" si="2"/>
        <v>-76260</v>
      </c>
      <c r="I74" t="s">
        <v>25</v>
      </c>
    </row>
    <row r="75" spans="1:9">
      <c r="A75" s="99" t="s">
        <v>4731</v>
      </c>
      <c r="B75" s="113">
        <v>-20000</v>
      </c>
      <c r="C75" s="99" t="s">
        <v>4736</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4571</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4583</v>
      </c>
      <c r="B262" s="113">
        <v>-66500</v>
      </c>
      <c r="C262" s="99">
        <v>2</v>
      </c>
      <c r="D262" s="99">
        <f t="shared" si="8"/>
        <v>144</v>
      </c>
      <c r="E262" s="99">
        <f t="shared" si="9"/>
        <v>0</v>
      </c>
      <c r="F262" s="99">
        <f t="shared" si="10"/>
        <v>-5454432</v>
      </c>
      <c r="G262" s="99" t="s">
        <v>3964</v>
      </c>
      <c r="K262" t="s">
        <v>25</v>
      </c>
    </row>
    <row r="263" spans="1:11">
      <c r="A263" s="99" t="s">
        <v>4584</v>
      </c>
      <c r="B263" s="113">
        <v>-37878</v>
      </c>
      <c r="C263" s="99">
        <v>2</v>
      </c>
      <c r="D263" s="99">
        <f t="shared" si="8"/>
        <v>142</v>
      </c>
      <c r="E263" s="99">
        <f t="shared" si="9"/>
        <v>0</v>
      </c>
      <c r="F263" s="99">
        <f t="shared" si="10"/>
        <v>-5893000</v>
      </c>
      <c r="G263" s="99" t="s">
        <v>4585</v>
      </c>
      <c r="J263" t="s">
        <v>25</v>
      </c>
      <c r="K263" t="s">
        <v>25</v>
      </c>
    </row>
    <row r="264" spans="1:11">
      <c r="A264" s="99" t="s">
        <v>4580</v>
      </c>
      <c r="B264" s="113">
        <v>-41500</v>
      </c>
      <c r="C264" s="99">
        <v>3</v>
      </c>
      <c r="D264" s="99">
        <f t="shared" si="8"/>
        <v>140</v>
      </c>
      <c r="E264" s="99">
        <f t="shared" si="9"/>
        <v>0</v>
      </c>
      <c r="F264" s="99">
        <f t="shared" si="10"/>
        <v>-26600000</v>
      </c>
      <c r="G264" s="99" t="s">
        <v>1039</v>
      </c>
      <c r="J264" t="s">
        <v>25</v>
      </c>
    </row>
    <row r="265" spans="1:11">
      <c r="A265" s="99" t="s">
        <v>4611</v>
      </c>
      <c r="B265" s="113">
        <v>-190000</v>
      </c>
      <c r="C265" s="99">
        <v>1</v>
      </c>
      <c r="D265" s="99">
        <f t="shared" si="8"/>
        <v>137</v>
      </c>
      <c r="E265" s="99">
        <f t="shared" si="9"/>
        <v>0</v>
      </c>
      <c r="F265" s="99">
        <f t="shared" si="10"/>
        <v>-7535000</v>
      </c>
      <c r="G265" s="99"/>
    </row>
    <row r="266" spans="1:11">
      <c r="A266" s="99" t="s">
        <v>4610</v>
      </c>
      <c r="B266" s="113">
        <v>-55000</v>
      </c>
      <c r="C266" s="99">
        <v>1</v>
      </c>
      <c r="D266" s="99">
        <f t="shared" si="8"/>
        <v>136</v>
      </c>
      <c r="E266" s="99">
        <f t="shared" si="9"/>
        <v>0</v>
      </c>
      <c r="F266" s="99">
        <f t="shared" si="10"/>
        <v>-3997720</v>
      </c>
      <c r="G266" s="99"/>
    </row>
    <row r="267" spans="1:11">
      <c r="A267" s="99" t="s">
        <v>4599</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4613</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4618</v>
      </c>
      <c r="B271" s="113">
        <v>-9380</v>
      </c>
      <c r="C271" s="99">
        <v>0</v>
      </c>
      <c r="D271" s="99">
        <f t="shared" si="8"/>
        <v>128</v>
      </c>
      <c r="E271" s="99">
        <f t="shared" si="9"/>
        <v>0</v>
      </c>
      <c r="F271" s="99">
        <f t="shared" si="10"/>
        <v>-307200000</v>
      </c>
      <c r="G271" s="99"/>
    </row>
    <row r="272" spans="1:11">
      <c r="A272" s="99" t="s">
        <v>4618</v>
      </c>
      <c r="B272" s="113">
        <v>-2400000</v>
      </c>
      <c r="C272" s="99">
        <v>3</v>
      </c>
      <c r="D272" s="99">
        <f t="shared" si="8"/>
        <v>128</v>
      </c>
      <c r="E272" s="99">
        <f t="shared" si="9"/>
        <v>1</v>
      </c>
      <c r="F272" s="99">
        <f t="shared" si="10"/>
        <v>1905000</v>
      </c>
      <c r="G272" s="99"/>
    </row>
    <row r="273" spans="1:11">
      <c r="A273" s="99" t="s">
        <v>4628</v>
      </c>
      <c r="B273" s="113">
        <v>15000</v>
      </c>
      <c r="C273" s="99">
        <v>93</v>
      </c>
      <c r="D273" s="99">
        <f t="shared" si="8"/>
        <v>125</v>
      </c>
      <c r="E273" s="99">
        <f t="shared" si="9"/>
        <v>1</v>
      </c>
      <c r="F273" s="99">
        <f t="shared" si="10"/>
        <v>434000000</v>
      </c>
      <c r="G273" s="99"/>
    </row>
    <row r="274" spans="1:11">
      <c r="A274" s="99" t="s">
        <v>4938</v>
      </c>
      <c r="B274" s="113">
        <v>3500000</v>
      </c>
      <c r="C274" s="99">
        <v>0</v>
      </c>
      <c r="D274" s="99">
        <f t="shared" si="8"/>
        <v>32</v>
      </c>
      <c r="E274" s="99">
        <f t="shared" si="9"/>
        <v>0</v>
      </c>
      <c r="F274" s="99">
        <f t="shared" si="10"/>
        <v>-7168384</v>
      </c>
      <c r="G274" s="99"/>
    </row>
    <row r="275" spans="1:11">
      <c r="A275" s="99" t="s">
        <v>4938</v>
      </c>
      <c r="B275" s="113">
        <v>-224012</v>
      </c>
      <c r="C275" s="99">
        <v>2</v>
      </c>
      <c r="D275" s="99">
        <f t="shared" si="8"/>
        <v>32</v>
      </c>
      <c r="E275" s="99">
        <f t="shared" si="9"/>
        <v>0</v>
      </c>
      <c r="F275" s="99">
        <f t="shared" si="10"/>
        <v>-3349472</v>
      </c>
      <c r="G275" s="99"/>
    </row>
    <row r="276" spans="1:11">
      <c r="A276" s="99" t="s">
        <v>4961</v>
      </c>
      <c r="B276" s="113">
        <v>-104671</v>
      </c>
      <c r="C276" s="99">
        <v>1</v>
      </c>
      <c r="D276" s="99">
        <f t="shared" ref="D276:D280" si="11">D277+C276</f>
        <v>30</v>
      </c>
      <c r="E276" s="99">
        <f t="shared" ref="E276:E280" si="12">IF(B277&gt;0,1,0)</f>
        <v>0</v>
      </c>
      <c r="F276" s="99">
        <f t="shared" ref="F276:F280" si="13">B277*(D276-E276)</f>
        <v>-8160000</v>
      </c>
      <c r="G276" s="99"/>
    </row>
    <row r="277" spans="1:11">
      <c r="A277" s="99" t="s">
        <v>4963</v>
      </c>
      <c r="B277" s="113">
        <v>-272000</v>
      </c>
      <c r="C277" s="99">
        <v>1</v>
      </c>
      <c r="D277" s="99">
        <f t="shared" si="11"/>
        <v>29</v>
      </c>
      <c r="E277" s="99">
        <f t="shared" si="12"/>
        <v>0</v>
      </c>
      <c r="F277" s="99">
        <f t="shared" si="13"/>
        <v>-74387262</v>
      </c>
      <c r="G277" s="99"/>
    </row>
    <row r="278" spans="1:11">
      <c r="A278" s="99" t="s">
        <v>4965</v>
      </c>
      <c r="B278" s="113">
        <v>-2565078</v>
      </c>
      <c r="C278" s="99">
        <v>2</v>
      </c>
      <c r="D278" s="99">
        <f t="shared" si="11"/>
        <v>28</v>
      </c>
      <c r="E278" s="99">
        <f t="shared" si="12"/>
        <v>0</v>
      </c>
      <c r="F278" s="99">
        <f t="shared" si="13"/>
        <v>-5978000</v>
      </c>
      <c r="G278" s="99"/>
    </row>
    <row r="279" spans="1:11">
      <c r="A279" s="99" t="s">
        <v>4910</v>
      </c>
      <c r="B279" s="113">
        <v>-213500</v>
      </c>
      <c r="C279" s="99">
        <v>1</v>
      </c>
      <c r="D279" s="99">
        <f t="shared" si="11"/>
        <v>26</v>
      </c>
      <c r="E279" s="99">
        <f t="shared" si="12"/>
        <v>0</v>
      </c>
      <c r="F279" s="99">
        <f t="shared" si="13"/>
        <v>-99060</v>
      </c>
      <c r="G279" s="99"/>
    </row>
    <row r="280" spans="1:11">
      <c r="A280" s="99" t="s">
        <v>4982</v>
      </c>
      <c r="B280" s="113">
        <v>-3810</v>
      </c>
      <c r="C280" s="99">
        <v>1</v>
      </c>
      <c r="D280" s="99">
        <f t="shared" si="11"/>
        <v>25</v>
      </c>
      <c r="E280" s="99">
        <f t="shared" si="12"/>
        <v>0</v>
      </c>
      <c r="F280" s="99">
        <f t="shared" si="13"/>
        <v>-3015800</v>
      </c>
      <c r="G280" s="99"/>
      <c r="J280" t="s">
        <v>25</v>
      </c>
    </row>
    <row r="281" spans="1:11">
      <c r="A281" s="99" t="s">
        <v>4983</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4971</v>
      </c>
      <c r="B282" s="113">
        <v>80000</v>
      </c>
      <c r="C282" s="99">
        <v>0</v>
      </c>
      <c r="D282" s="99">
        <f t="shared" si="14"/>
        <v>23</v>
      </c>
      <c r="E282" s="99">
        <f t="shared" si="15"/>
        <v>0</v>
      </c>
      <c r="F282" s="99">
        <f t="shared" si="16"/>
        <v>-57500</v>
      </c>
      <c r="G282" s="99"/>
    </row>
    <row r="283" spans="1:11">
      <c r="A283" s="99" t="s">
        <v>4971</v>
      </c>
      <c r="B283" s="113">
        <v>-2500</v>
      </c>
      <c r="C283" s="99">
        <v>1</v>
      </c>
      <c r="D283" s="99">
        <f t="shared" si="14"/>
        <v>23</v>
      </c>
      <c r="E283" s="99">
        <f t="shared" si="15"/>
        <v>0</v>
      </c>
      <c r="F283" s="99">
        <f t="shared" si="16"/>
        <v>-690000</v>
      </c>
      <c r="G283" s="99"/>
      <c r="J283" s="114">
        <f>B315-498804</f>
        <v>-140500</v>
      </c>
    </row>
    <row r="284" spans="1:11">
      <c r="A284" s="99" t="s">
        <v>4976</v>
      </c>
      <c r="B284" s="113">
        <v>-30000</v>
      </c>
      <c r="C284" s="99">
        <v>1</v>
      </c>
      <c r="D284" s="99">
        <f t="shared" si="14"/>
        <v>22</v>
      </c>
      <c r="E284" s="99">
        <f t="shared" si="15"/>
        <v>0</v>
      </c>
      <c r="F284" s="99">
        <f t="shared" si="16"/>
        <v>-435600</v>
      </c>
      <c r="G284" s="99"/>
    </row>
    <row r="285" spans="1:11">
      <c r="A285" s="99" t="s">
        <v>4984</v>
      </c>
      <c r="B285" s="113">
        <v>-19800</v>
      </c>
      <c r="C285" s="99">
        <v>1</v>
      </c>
      <c r="D285" s="99">
        <f t="shared" si="14"/>
        <v>21</v>
      </c>
      <c r="E285" s="99">
        <f t="shared" si="15"/>
        <v>1</v>
      </c>
      <c r="F285" s="99">
        <f t="shared" si="16"/>
        <v>18800000</v>
      </c>
      <c r="G285" s="99"/>
      <c r="K285" t="s">
        <v>25</v>
      </c>
    </row>
    <row r="286" spans="1:11">
      <c r="A286" s="99" t="s">
        <v>4975</v>
      </c>
      <c r="B286" s="113">
        <v>940000</v>
      </c>
      <c r="C286" s="99">
        <v>0</v>
      </c>
      <c r="D286" s="99">
        <f t="shared" si="14"/>
        <v>20</v>
      </c>
      <c r="E286" s="99">
        <f t="shared" si="15"/>
        <v>0</v>
      </c>
      <c r="F286" s="99">
        <f t="shared" si="16"/>
        <v>-4020000</v>
      </c>
      <c r="G286" s="99"/>
    </row>
    <row r="287" spans="1:11">
      <c r="A287" s="99" t="s">
        <v>4975</v>
      </c>
      <c r="B287" s="113">
        <v>-201000</v>
      </c>
      <c r="C287" s="99">
        <v>1</v>
      </c>
      <c r="D287" s="99">
        <f t="shared" si="14"/>
        <v>20</v>
      </c>
      <c r="E287" s="99">
        <f t="shared" si="15"/>
        <v>0</v>
      </c>
      <c r="F287" s="99">
        <f t="shared" si="16"/>
        <v>-6418600</v>
      </c>
      <c r="G287" s="99"/>
    </row>
    <row r="288" spans="1:11">
      <c r="A288" s="99" t="s">
        <v>4980</v>
      </c>
      <c r="B288" s="113">
        <v>-320930</v>
      </c>
      <c r="C288" s="99">
        <v>3</v>
      </c>
      <c r="D288" s="99">
        <f t="shared" si="14"/>
        <v>19</v>
      </c>
      <c r="E288" s="99">
        <f t="shared" si="15"/>
        <v>0</v>
      </c>
      <c r="F288" s="99">
        <f t="shared" si="16"/>
        <v>-7600000</v>
      </c>
      <c r="G288" s="99"/>
    </row>
    <row r="289" spans="1:10">
      <c r="A289" s="99" t="s">
        <v>4981</v>
      </c>
      <c r="B289" s="113">
        <v>-400000</v>
      </c>
      <c r="C289" s="99">
        <v>1</v>
      </c>
      <c r="D289" s="99">
        <f t="shared" ref="D289:D313" si="17">D290+C289</f>
        <v>16</v>
      </c>
      <c r="E289" s="99">
        <f t="shared" ref="E289:E313" si="18">IF(B290&gt;0,1,0)</f>
        <v>0</v>
      </c>
      <c r="F289" s="99">
        <f t="shared" ref="F289:F313" si="19">B290*(D289-E289)</f>
        <v>-264000</v>
      </c>
      <c r="G289" s="99"/>
    </row>
    <row r="290" spans="1:10">
      <c r="A290" s="99" t="s">
        <v>4988</v>
      </c>
      <c r="B290" s="113">
        <v>-16500</v>
      </c>
      <c r="C290" s="99">
        <v>11</v>
      </c>
      <c r="D290" s="99">
        <f t="shared" si="17"/>
        <v>15</v>
      </c>
      <c r="E290" s="99">
        <f t="shared" si="18"/>
        <v>1</v>
      </c>
      <c r="F290" s="99">
        <f t="shared" si="19"/>
        <v>36400000</v>
      </c>
      <c r="G290" s="99"/>
    </row>
    <row r="291" spans="1:10">
      <c r="A291" s="99" t="s">
        <v>5015</v>
      </c>
      <c r="B291" s="113">
        <v>2600000</v>
      </c>
      <c r="C291" s="99">
        <v>2</v>
      </c>
      <c r="D291" s="99">
        <f t="shared" si="17"/>
        <v>4</v>
      </c>
      <c r="E291" s="99">
        <f t="shared" si="18"/>
        <v>0</v>
      </c>
      <c r="F291" s="99">
        <f t="shared" si="19"/>
        <v>-4680000</v>
      </c>
      <c r="G291" s="99"/>
      <c r="I291" t="s">
        <v>25</v>
      </c>
    </row>
    <row r="292" spans="1:10">
      <c r="A292" s="99" t="s">
        <v>5016</v>
      </c>
      <c r="B292" s="113">
        <v>-1170000</v>
      </c>
      <c r="C292" s="99">
        <v>0</v>
      </c>
      <c r="D292" s="99">
        <f t="shared" si="17"/>
        <v>2</v>
      </c>
      <c r="E292" s="99">
        <f t="shared" si="18"/>
        <v>0</v>
      </c>
      <c r="F292" s="99">
        <f t="shared" si="19"/>
        <v>-18000</v>
      </c>
      <c r="G292" s="99" t="s">
        <v>5017</v>
      </c>
      <c r="J292" t="s">
        <v>25</v>
      </c>
    </row>
    <row r="293" spans="1:10">
      <c r="A293" s="99" t="s">
        <v>5016</v>
      </c>
      <c r="B293" s="113">
        <v>-9000</v>
      </c>
      <c r="C293" s="99">
        <v>1</v>
      </c>
      <c r="D293" s="99">
        <f t="shared" si="17"/>
        <v>2</v>
      </c>
      <c r="E293" s="99">
        <f t="shared" si="18"/>
        <v>0</v>
      </c>
      <c r="F293" s="99">
        <f t="shared" si="19"/>
        <v>-2290000</v>
      </c>
      <c r="G293" s="99"/>
    </row>
    <row r="294" spans="1:10">
      <c r="A294" s="99" t="s">
        <v>5019</v>
      </c>
      <c r="B294" s="113">
        <v>-1145000</v>
      </c>
      <c r="C294" s="99">
        <v>1</v>
      </c>
      <c r="D294" s="99">
        <f t="shared" si="17"/>
        <v>1</v>
      </c>
      <c r="E294" s="99">
        <f t="shared" si="18"/>
        <v>0</v>
      </c>
      <c r="F294" s="99">
        <f t="shared" si="19"/>
        <v>0</v>
      </c>
      <c r="G294" s="99" t="s">
        <v>5020</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E1" zoomScaleNormal="100" workbookViewId="0">
      <pane ySplit="1" topLeftCell="A2" activePane="bottomLeft" state="frozen"/>
      <selection pane="bottomLeft" activeCell="M28" sqref="M28"/>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4744</v>
      </c>
      <c r="L15">
        <v>451474</v>
      </c>
      <c r="M15" s="246" t="s">
        <v>4913</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7"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4571</v>
      </c>
      <c r="B192" s="38">
        <v>100000</v>
      </c>
      <c r="C192" s="73" t="s">
        <v>3891</v>
      </c>
      <c r="D192" s="99">
        <v>87</v>
      </c>
      <c r="E192" s="99">
        <f t="shared" si="9"/>
        <v>88</v>
      </c>
      <c r="F192" s="99">
        <f t="shared" si="5"/>
        <v>1</v>
      </c>
      <c r="G192" s="99">
        <f t="shared" si="4"/>
        <v>8700000</v>
      </c>
    </row>
    <row r="193" spans="1:7">
      <c r="A193" s="11" t="s">
        <v>4863</v>
      </c>
      <c r="B193" s="38">
        <v>-25000</v>
      </c>
      <c r="C193" s="11" t="s">
        <v>4870</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00"/>
  <sheetViews>
    <sheetView tabSelected="1" topLeftCell="J19" zoomScale="90" zoomScaleNormal="90" workbookViewId="0">
      <selection activeCell="N21" sqref="N2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1077</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3">
        <v>1</v>
      </c>
      <c r="AR6" s="169">
        <v>5000000</v>
      </c>
      <c r="AS6" s="213" t="s">
        <v>4150</v>
      </c>
      <c r="AT6" s="213"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3">
        <v>2</v>
      </c>
      <c r="AR7" s="169">
        <v>13000000</v>
      </c>
      <c r="AS7" s="213" t="s">
        <v>4157</v>
      </c>
      <c r="AT7" s="213"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4172</v>
      </c>
      <c r="AT8" s="213"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4341</v>
      </c>
      <c r="AT9" s="213"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4812</v>
      </c>
      <c r="AT10" s="73" t="s">
        <v>4815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3">
        <v>6</v>
      </c>
      <c r="AR11" s="169">
        <v>-1663925</v>
      </c>
      <c r="AS11" s="213" t="s">
        <v>4834</v>
      </c>
      <c r="AT11" s="73" t="s">
        <v>4835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4886</v>
      </c>
      <c r="AT12" s="73" t="s">
        <v>4887</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5016</v>
      </c>
      <c r="AT13" s="73" t="s">
        <v>5018</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3">
        <v>9</v>
      </c>
      <c r="AR14" s="169">
        <v>-800000</v>
      </c>
      <c r="AS14" s="213" t="s">
        <v>5019</v>
      </c>
      <c r="AT14" s="73" t="s">
        <v>5023</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3">
        <v>10</v>
      </c>
      <c r="AR15" s="169">
        <v>-3185615</v>
      </c>
      <c r="AS15" s="213" t="s">
        <v>5053</v>
      </c>
      <c r="AT15" s="73" t="s">
        <v>5052</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5056</v>
      </c>
      <c r="AT16" s="213" t="s">
        <v>5058</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3"/>
      <c r="AR18" s="169">
        <f>SUM(AR6:AR16)</f>
        <v>-1949808</v>
      </c>
      <c r="AS18" s="213"/>
      <c r="AT18" s="235" t="s">
        <v>5059</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4455</v>
      </c>
      <c r="N20" s="113">
        <v>22674</v>
      </c>
      <c r="O20" s="99" t="s">
        <v>937</v>
      </c>
      <c r="P20" s="99" t="s">
        <v>3929</v>
      </c>
      <c r="Q20" s="169">
        <v>9268987</v>
      </c>
      <c r="R20" s="168" t="s">
        <v>4172</v>
      </c>
      <c r="S20" s="191">
        <f>S93</f>
        <v>275</v>
      </c>
      <c r="T20" s="168" t="s">
        <v>4308</v>
      </c>
      <c r="U20" s="168">
        <v>192.1</v>
      </c>
      <c r="V20" s="168">
        <f t="shared" ref="V20:V59" si="6">U20*(1+$R$89+$Q$15*S20/36500)</f>
        <v>235.54512547945205</v>
      </c>
      <c r="W20" s="32">
        <f t="shared" ref="W20:W33" si="7">V20*(1+$W$19/100)</f>
        <v>240.25602798904109</v>
      </c>
      <c r="X20" s="32">
        <f t="shared" ref="X20:X33" si="8">V20*(1+$X$19/100)</f>
        <v>244.96693049863015</v>
      </c>
      <c r="Y20" s="115"/>
      <c r="Z20" s="115"/>
      <c r="AH20" s="99">
        <v>1</v>
      </c>
      <c r="AI20" s="113" t="s">
        <v>1108</v>
      </c>
      <c r="AJ20" s="113">
        <v>18000000</v>
      </c>
      <c r="AK20" s="99">
        <v>1</v>
      </c>
      <c r="AL20" s="99">
        <f>AL21+AK20</f>
        <v>449</v>
      </c>
      <c r="AM20" s="113">
        <f>AJ20*AL20</f>
        <v>8082000000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4468</v>
      </c>
      <c r="L21" s="117">
        <f>-N36</f>
        <v>617831916.7750901</v>
      </c>
      <c r="M21" s="168" t="s">
        <v>4300</v>
      </c>
      <c r="N21" s="113">
        <f t="shared" ref="N21:N26" si="9">O21*P21</f>
        <v>307858623.39999998</v>
      </c>
      <c r="O21" s="99">
        <v>1343774</v>
      </c>
      <c r="P21" s="185">
        <f>P52</f>
        <v>229.1</v>
      </c>
      <c r="Q21" s="169">
        <v>595156</v>
      </c>
      <c r="R21" s="168" t="s">
        <v>4391</v>
      </c>
      <c r="S21" s="192">
        <f>S20-52</f>
        <v>223</v>
      </c>
      <c r="T21" s="168" t="s">
        <v>4394</v>
      </c>
      <c r="U21" s="168">
        <v>5808.5</v>
      </c>
      <c r="V21" s="168">
        <f t="shared" si="6"/>
        <v>6890.4405424657543</v>
      </c>
      <c r="W21" s="32">
        <f t="shared" si="7"/>
        <v>7028.2493533150691</v>
      </c>
      <c r="X21" s="32">
        <f t="shared" si="8"/>
        <v>7166.0581641643848</v>
      </c>
      <c r="Y21" s="115"/>
      <c r="Z21" s="115"/>
      <c r="AH21" s="99">
        <v>2</v>
      </c>
      <c r="AI21" s="113" t="s">
        <v>1110</v>
      </c>
      <c r="AJ21" s="113">
        <v>2500000</v>
      </c>
      <c r="AK21" s="99">
        <v>1</v>
      </c>
      <c r="AL21" s="99">
        <f t="shared" ref="AL21:AL63" si="10">AL22+AK21</f>
        <v>448</v>
      </c>
      <c r="AM21" s="113">
        <f t="shared" ref="AM21:AM120" si="11">AJ21*AL21</f>
        <v>1120000000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4389</v>
      </c>
      <c r="N22" s="113">
        <f t="shared" si="9"/>
        <v>10067022</v>
      </c>
      <c r="O22" s="99">
        <v>2199</v>
      </c>
      <c r="P22" s="185">
        <f>P47</f>
        <v>4578</v>
      </c>
      <c r="Q22" s="169">
        <v>1484689</v>
      </c>
      <c r="R22" s="168" t="s">
        <v>4427</v>
      </c>
      <c r="S22" s="168">
        <f>S21-7</f>
        <v>216</v>
      </c>
      <c r="T22" s="19" t="s">
        <v>4430</v>
      </c>
      <c r="U22" s="168">
        <v>5474</v>
      </c>
      <c r="V22" s="168">
        <f t="shared" si="6"/>
        <v>6464.2391013698634</v>
      </c>
      <c r="W22" s="32">
        <f t="shared" si="7"/>
        <v>6593.5238833972608</v>
      </c>
      <c r="X22" s="32">
        <f t="shared" si="8"/>
        <v>6722.8086654246581</v>
      </c>
      <c r="Y22" s="115"/>
      <c r="Z22" s="115"/>
      <c r="AH22" s="99">
        <v>3</v>
      </c>
      <c r="AI22" s="113" t="s">
        <v>1119</v>
      </c>
      <c r="AJ22" s="113">
        <v>8000000</v>
      </c>
      <c r="AK22" s="99">
        <v>1</v>
      </c>
      <c r="AL22" s="99">
        <f t="shared" si="10"/>
        <v>447</v>
      </c>
      <c r="AM22" s="113">
        <f t="shared" si="11"/>
        <v>3576000000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168" t="s">
        <v>4471</v>
      </c>
      <c r="L23" s="117">
        <f>-'فروردین 98'!D73</f>
        <v>-10538909</v>
      </c>
      <c r="M23" s="213" t="s">
        <v>4408</v>
      </c>
      <c r="N23" s="113">
        <f t="shared" si="9"/>
        <v>115674010.2</v>
      </c>
      <c r="O23" s="99">
        <v>161061</v>
      </c>
      <c r="P23" s="185">
        <f>P50</f>
        <v>718.2</v>
      </c>
      <c r="Q23" s="169">
        <v>2197673</v>
      </c>
      <c r="R23" s="168" t="s">
        <v>4427</v>
      </c>
      <c r="S23" s="168">
        <f>S22</f>
        <v>216</v>
      </c>
      <c r="T23" s="19" t="s">
        <v>4431</v>
      </c>
      <c r="U23" s="168">
        <v>5349</v>
      </c>
      <c r="V23" s="168">
        <f t="shared" si="6"/>
        <v>6316.6267726027399</v>
      </c>
      <c r="W23" s="32">
        <f>V23*(1+$W$19/100)</f>
        <v>6442.9593080547947</v>
      </c>
      <c r="X23" s="32">
        <f t="shared" si="8"/>
        <v>6569.2918435068495</v>
      </c>
      <c r="Y23" s="96"/>
      <c r="Z23" s="96"/>
      <c r="AH23" s="99">
        <v>4</v>
      </c>
      <c r="AI23" s="113" t="s">
        <v>4054</v>
      </c>
      <c r="AJ23" s="113">
        <v>-79552</v>
      </c>
      <c r="AK23" s="99">
        <v>1</v>
      </c>
      <c r="AL23" s="99">
        <f t="shared" si="10"/>
        <v>446</v>
      </c>
      <c r="AM23" s="113">
        <f t="shared" si="11"/>
        <v>-35480192</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L64</f>
        <v>548521084.7750901</v>
      </c>
      <c r="G24" s="95">
        <f t="shared" si="0"/>
        <v>-268214739.39315146</v>
      </c>
      <c r="H24" s="11"/>
      <c r="I24" s="96"/>
      <c r="J24" s="96"/>
      <c r="K24" s="213"/>
      <c r="L24" s="117"/>
      <c r="M24" s="213" t="s">
        <v>5106</v>
      </c>
      <c r="N24" s="113">
        <f t="shared" si="9"/>
        <v>205585.5</v>
      </c>
      <c r="O24" s="99">
        <v>303</v>
      </c>
      <c r="P24" s="185">
        <f>P49</f>
        <v>678.5</v>
      </c>
      <c r="Q24" s="169">
        <v>1353959</v>
      </c>
      <c r="R24" s="168" t="s">
        <v>4427</v>
      </c>
      <c r="S24" s="198">
        <f>S23</f>
        <v>216</v>
      </c>
      <c r="T24" s="19" t="s">
        <v>4473</v>
      </c>
      <c r="U24" s="168">
        <v>192.2</v>
      </c>
      <c r="V24" s="168">
        <f t="shared" si="6"/>
        <v>226.96871671232876</v>
      </c>
      <c r="W24" s="32">
        <f t="shared" si="7"/>
        <v>231.50809104657534</v>
      </c>
      <c r="X24" s="32">
        <f t="shared" si="8"/>
        <v>236.0474653808219</v>
      </c>
      <c r="Y24" s="96"/>
      <c r="Z24" s="96"/>
      <c r="AH24" s="99">
        <v>5</v>
      </c>
      <c r="AI24" s="113" t="s">
        <v>1131</v>
      </c>
      <c r="AJ24" s="113">
        <v>165500</v>
      </c>
      <c r="AK24" s="99">
        <v>12</v>
      </c>
      <c r="AL24" s="99">
        <f t="shared" si="10"/>
        <v>445</v>
      </c>
      <c r="AM24" s="113">
        <f t="shared" si="11"/>
        <v>73647500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5144</v>
      </c>
      <c r="N25" s="113">
        <f t="shared" si="9"/>
        <v>28980</v>
      </c>
      <c r="O25" s="99">
        <v>92</v>
      </c>
      <c r="P25" s="185">
        <f>P51</f>
        <v>315</v>
      </c>
      <c r="Q25" s="169">
        <v>1614398</v>
      </c>
      <c r="R25" s="168" t="s">
        <v>4435</v>
      </c>
      <c r="S25" s="168">
        <f>S24-3</f>
        <v>213</v>
      </c>
      <c r="T25" s="19" t="s">
        <v>4506</v>
      </c>
      <c r="U25" s="168">
        <v>184.6</v>
      </c>
      <c r="V25" s="168">
        <f t="shared" si="6"/>
        <v>217.56905424657535</v>
      </c>
      <c r="W25" s="32">
        <f t="shared" si="7"/>
        <v>221.92043533150687</v>
      </c>
      <c r="X25" s="32">
        <f t="shared" si="8"/>
        <v>226.27181641643838</v>
      </c>
      <c r="Y25" s="96"/>
      <c r="Z25" s="96" t="s">
        <v>25</v>
      </c>
      <c r="AH25" s="99">
        <v>6</v>
      </c>
      <c r="AI25" s="113" t="s">
        <v>1156</v>
      </c>
      <c r="AJ25" s="113">
        <v>-28830327</v>
      </c>
      <c r="AK25" s="99">
        <v>6</v>
      </c>
      <c r="AL25" s="99">
        <f t="shared" si="10"/>
        <v>433</v>
      </c>
      <c r="AM25" s="113">
        <f t="shared" si="11"/>
        <v>-12483531591</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t="s">
        <v>456</v>
      </c>
      <c r="L26" s="117">
        <v>250000</v>
      </c>
      <c r="M26" s="168" t="s">
        <v>4393</v>
      </c>
      <c r="N26" s="113">
        <f t="shared" si="9"/>
        <v>48946603.199999996</v>
      </c>
      <c r="O26" s="99">
        <v>9273</v>
      </c>
      <c r="P26" s="99">
        <f>P48</f>
        <v>5278.4</v>
      </c>
      <c r="Q26" s="169">
        <v>133576</v>
      </c>
      <c r="R26" s="168" t="s">
        <v>4513</v>
      </c>
      <c r="S26" s="197">
        <f>S25-22</f>
        <v>191</v>
      </c>
      <c r="T26" s="168" t="s">
        <v>4514</v>
      </c>
      <c r="U26" s="168">
        <v>166.2</v>
      </c>
      <c r="V26" s="168">
        <f t="shared" si="6"/>
        <v>193.07795506849314</v>
      </c>
      <c r="W26" s="32">
        <f t="shared" si="7"/>
        <v>196.939514169863</v>
      </c>
      <c r="X26" s="32">
        <f t="shared" si="8"/>
        <v>200.80107327123287</v>
      </c>
      <c r="Y26" s="96"/>
      <c r="Z26" s="96"/>
      <c r="AH26" s="99">
        <v>7</v>
      </c>
      <c r="AI26" s="113" t="s">
        <v>1181</v>
      </c>
      <c r="AJ26" s="113">
        <v>18500000</v>
      </c>
      <c r="AK26" s="99">
        <v>1</v>
      </c>
      <c r="AL26" s="99">
        <f t="shared" si="10"/>
        <v>427</v>
      </c>
      <c r="AM26" s="113">
        <f t="shared" si="11"/>
        <v>7899500000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68"/>
      <c r="N27" s="113"/>
      <c r="O27" s="69" t="s">
        <v>25</v>
      </c>
      <c r="P27" s="99"/>
      <c r="Q27" s="169">
        <v>220803</v>
      </c>
      <c r="R27" s="168" t="s">
        <v>4230</v>
      </c>
      <c r="S27" s="197">
        <f>S26-1</f>
        <v>190</v>
      </c>
      <c r="T27" s="168" t="s">
        <v>4520</v>
      </c>
      <c r="U27" s="168">
        <v>166</v>
      </c>
      <c r="V27" s="168">
        <f t="shared" si="6"/>
        <v>192.7182684931507</v>
      </c>
      <c r="W27" s="32">
        <f t="shared" si="7"/>
        <v>196.57263386301372</v>
      </c>
      <c r="X27" s="32">
        <f t="shared" si="8"/>
        <v>200.42699923287674</v>
      </c>
      <c r="Y27" s="96"/>
      <c r="Z27" s="96"/>
      <c r="AH27" s="99">
        <v>8</v>
      </c>
      <c r="AI27" s="113" t="s">
        <v>1190</v>
      </c>
      <c r="AJ27" s="113">
        <v>-18550000</v>
      </c>
      <c r="AK27" s="99">
        <v>1</v>
      </c>
      <c r="AL27" s="99">
        <f t="shared" si="10"/>
        <v>426</v>
      </c>
      <c r="AM27" s="113">
        <f t="shared" si="11"/>
        <v>-7902300000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c r="L28" s="117"/>
      <c r="M28" s="189" t="s">
        <v>4457</v>
      </c>
      <c r="N28" s="113">
        <v>21594</v>
      </c>
      <c r="O28" s="69" t="s">
        <v>25</v>
      </c>
      <c r="P28" s="99" t="s">
        <v>25</v>
      </c>
      <c r="Q28" s="169">
        <v>1023940</v>
      </c>
      <c r="R28" s="168" t="s">
        <v>4521</v>
      </c>
      <c r="S28" s="197">
        <f>S27-2</f>
        <v>188</v>
      </c>
      <c r="T28" s="168" t="s">
        <v>4527</v>
      </c>
      <c r="U28" s="168">
        <v>160.19999999999999</v>
      </c>
      <c r="V28" s="168">
        <f t="shared" si="6"/>
        <v>185.73895232876711</v>
      </c>
      <c r="W28" s="32">
        <f t="shared" si="7"/>
        <v>189.45373137534247</v>
      </c>
      <c r="X28" s="32">
        <f t="shared" si="8"/>
        <v>193.1685104219178</v>
      </c>
      <c r="Y28" s="96"/>
      <c r="Z28" s="96"/>
      <c r="AH28" s="99">
        <v>9</v>
      </c>
      <c r="AI28" s="113" t="s">
        <v>1197</v>
      </c>
      <c r="AJ28" s="113">
        <v>-64961</v>
      </c>
      <c r="AK28" s="99">
        <v>5</v>
      </c>
      <c r="AL28" s="99">
        <f t="shared" si="10"/>
        <v>425</v>
      </c>
      <c r="AM28" s="113">
        <f t="shared" si="11"/>
        <v>-27608425</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168"/>
      <c r="L29" s="117"/>
      <c r="M29" s="189" t="s">
        <v>4393</v>
      </c>
      <c r="N29" s="113">
        <f t="shared" ref="N29:N33" si="13">O29*P29</f>
        <v>4871963.1999999993</v>
      </c>
      <c r="O29" s="69">
        <v>923</v>
      </c>
      <c r="P29" s="99">
        <f>P48</f>
        <v>5278.4</v>
      </c>
      <c r="Q29" s="169">
        <v>168846</v>
      </c>
      <c r="R29" s="168" t="s">
        <v>3691</v>
      </c>
      <c r="S29" s="197">
        <f>S28-28</f>
        <v>160</v>
      </c>
      <c r="T29" s="168" t="s">
        <v>4616</v>
      </c>
      <c r="U29" s="168">
        <v>172.2</v>
      </c>
      <c r="V29" s="168">
        <f t="shared" si="6"/>
        <v>195.9532208219178</v>
      </c>
      <c r="W29" s="32">
        <f t="shared" si="7"/>
        <v>199.87228523835614</v>
      </c>
      <c r="X29" s="32">
        <f t="shared" si="8"/>
        <v>203.79134965479452</v>
      </c>
      <c r="Y29" s="96"/>
      <c r="Z29" s="96"/>
      <c r="AH29" s="99">
        <v>10</v>
      </c>
      <c r="AI29" s="113" t="s">
        <v>1213</v>
      </c>
      <c r="AJ29" s="113">
        <v>6400000</v>
      </c>
      <c r="AK29" s="99">
        <v>1</v>
      </c>
      <c r="AL29" s="99">
        <f t="shared" si="10"/>
        <v>420</v>
      </c>
      <c r="AM29" s="113">
        <f t="shared" si="11"/>
        <v>2688000000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5106</v>
      </c>
      <c r="N30" s="113">
        <f t="shared" si="13"/>
        <v>205585.5</v>
      </c>
      <c r="O30" s="69">
        <v>303</v>
      </c>
      <c r="P30" s="99">
        <f>P49</f>
        <v>678.5</v>
      </c>
      <c r="Q30" s="169">
        <v>250962</v>
      </c>
      <c r="R30" s="168" t="s">
        <v>4652</v>
      </c>
      <c r="S30" s="197">
        <f>S29-10</f>
        <v>150</v>
      </c>
      <c r="T30" s="168" t="s">
        <v>4653</v>
      </c>
      <c r="U30" s="168">
        <v>5315.5</v>
      </c>
      <c r="V30" s="168">
        <f t="shared" si="6"/>
        <v>6007.9421753424658</v>
      </c>
      <c r="W30" s="32">
        <f t="shared" si="7"/>
        <v>6128.1010188493156</v>
      </c>
      <c r="X30" s="32">
        <f t="shared" si="8"/>
        <v>6248.2598623561644</v>
      </c>
      <c r="Y30" s="96"/>
      <c r="Z30" s="96"/>
      <c r="AH30" s="99">
        <v>11</v>
      </c>
      <c r="AI30" s="113" t="s">
        <v>4055</v>
      </c>
      <c r="AJ30" s="113">
        <v>-170000</v>
      </c>
      <c r="AK30" s="99">
        <v>5</v>
      </c>
      <c r="AL30" s="99">
        <f t="shared" si="10"/>
        <v>419</v>
      </c>
      <c r="AM30" s="113">
        <f t="shared" si="11"/>
        <v>-71230000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4408</v>
      </c>
      <c r="N31" s="113">
        <f t="shared" si="13"/>
        <v>1151992.8</v>
      </c>
      <c r="O31" s="69">
        <v>1604</v>
      </c>
      <c r="P31" s="99">
        <f>P50</f>
        <v>718.2</v>
      </c>
      <c r="Q31" s="169">
        <v>350718</v>
      </c>
      <c r="R31" s="213" t="s">
        <v>4687</v>
      </c>
      <c r="S31" s="197">
        <f>S30-7</f>
        <v>143</v>
      </c>
      <c r="T31" s="213" t="s">
        <v>4688</v>
      </c>
      <c r="U31" s="213">
        <v>502.3</v>
      </c>
      <c r="V31" s="213">
        <f t="shared" si="6"/>
        <v>565.03658191780823</v>
      </c>
      <c r="W31" s="32">
        <f t="shared" si="7"/>
        <v>576.33731355616442</v>
      </c>
      <c r="X31" s="32">
        <f t="shared" si="8"/>
        <v>587.6380451945206</v>
      </c>
      <c r="Y31" s="96"/>
      <c r="Z31" s="96"/>
      <c r="AH31" s="99">
        <v>12</v>
      </c>
      <c r="AI31" s="113" t="s">
        <v>1233</v>
      </c>
      <c r="AJ31" s="113">
        <v>-6300000</v>
      </c>
      <c r="AK31" s="99">
        <v>1</v>
      </c>
      <c r="AL31" s="99">
        <f>AL32+AK31</f>
        <v>414</v>
      </c>
      <c r="AM31" s="113">
        <f t="shared" si="11"/>
        <v>-2608200000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5144</v>
      </c>
      <c r="N32" s="113">
        <f t="shared" si="13"/>
        <v>28980</v>
      </c>
      <c r="O32" s="69">
        <v>92</v>
      </c>
      <c r="P32" s="99">
        <f>P51</f>
        <v>315</v>
      </c>
      <c r="Q32" s="169">
        <v>17953742</v>
      </c>
      <c r="R32" s="213" t="s">
        <v>3684</v>
      </c>
      <c r="S32" s="197">
        <f>S31-15</f>
        <v>128</v>
      </c>
      <c r="T32" s="213" t="s">
        <v>4726</v>
      </c>
      <c r="U32" s="213">
        <v>486.4</v>
      </c>
      <c r="V32" s="213">
        <f t="shared" si="6"/>
        <v>541.55376219178083</v>
      </c>
      <c r="W32" s="32">
        <f t="shared" si="7"/>
        <v>552.38483743561642</v>
      </c>
      <c r="X32" s="32">
        <f t="shared" si="8"/>
        <v>563.21591267945212</v>
      </c>
      <c r="Y32" s="96"/>
      <c r="Z32" s="96"/>
      <c r="AH32" s="99">
        <v>13</v>
      </c>
      <c r="AI32" s="113" t="s">
        <v>1242</v>
      </c>
      <c r="AJ32" s="113">
        <v>-52015</v>
      </c>
      <c r="AK32" s="99">
        <v>16</v>
      </c>
      <c r="AL32" s="99">
        <f t="shared" si="10"/>
        <v>413</v>
      </c>
      <c r="AM32" s="113">
        <f t="shared" si="11"/>
        <v>-21482195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4436</v>
      </c>
      <c r="N33" s="113">
        <f t="shared" si="13"/>
        <v>71888601.700000003</v>
      </c>
      <c r="O33" s="69">
        <v>313787</v>
      </c>
      <c r="P33" s="99">
        <f>P52</f>
        <v>229.1</v>
      </c>
      <c r="Q33" s="169">
        <v>9566181</v>
      </c>
      <c r="R33" s="213" t="s">
        <v>4727</v>
      </c>
      <c r="S33" s="197">
        <f>S32-1</f>
        <v>127</v>
      </c>
      <c r="T33" s="213" t="s">
        <v>4728</v>
      </c>
      <c r="U33" s="213">
        <v>476.1</v>
      </c>
      <c r="V33" s="213">
        <f t="shared" si="6"/>
        <v>529.7205994520549</v>
      </c>
      <c r="W33" s="32">
        <f t="shared" si="7"/>
        <v>540.31501144109598</v>
      </c>
      <c r="X33" s="32">
        <f t="shared" si="8"/>
        <v>550.90942343013717</v>
      </c>
      <c r="Y33" s="96"/>
      <c r="Z33" s="96"/>
      <c r="AH33" s="99">
        <v>14</v>
      </c>
      <c r="AI33" s="113" t="s">
        <v>3708</v>
      </c>
      <c r="AJ33" s="113">
        <v>20017400</v>
      </c>
      <c r="AK33" s="99">
        <v>0</v>
      </c>
      <c r="AL33" s="99">
        <f t="shared" si="10"/>
        <v>397</v>
      </c>
      <c r="AM33" s="113">
        <f t="shared" si="11"/>
        <v>7946907800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c r="L34" s="117"/>
      <c r="M34" s="168"/>
      <c r="N34" s="113"/>
      <c r="P34" t="s">
        <v>25</v>
      </c>
      <c r="Q34" s="169">
        <v>1563192</v>
      </c>
      <c r="R34" s="213" t="s">
        <v>4727</v>
      </c>
      <c r="S34" s="197">
        <f>S33</f>
        <v>127</v>
      </c>
      <c r="T34" s="213" t="s">
        <v>4729</v>
      </c>
      <c r="U34" s="213">
        <v>168.8</v>
      </c>
      <c r="V34" s="213">
        <f t="shared" si="6"/>
        <v>187.81104219178084</v>
      </c>
      <c r="W34" s="32">
        <f t="shared" ref="W34:W59" si="14">V34*(1+$W$19/100)</f>
        <v>191.56726303561646</v>
      </c>
      <c r="X34" s="32">
        <f t="shared" ref="X34:X59" si="15">V34*(1+$X$19/100)</f>
        <v>195.32348387945208</v>
      </c>
      <c r="Y34" s="96"/>
      <c r="Z34" s="96"/>
      <c r="AH34" s="99">
        <v>15</v>
      </c>
      <c r="AI34" s="113" t="s">
        <v>3708</v>
      </c>
      <c r="AJ34" s="113">
        <v>1014466</v>
      </c>
      <c r="AK34" s="99">
        <v>12</v>
      </c>
      <c r="AL34" s="99">
        <f t="shared" si="10"/>
        <v>397</v>
      </c>
      <c r="AM34" s="113">
        <f t="shared" si="11"/>
        <v>402743002</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25</v>
      </c>
      <c r="L35" s="117"/>
      <c r="M35" s="168" t="s">
        <v>756</v>
      </c>
      <c r="N35" s="113">
        <v>3000000</v>
      </c>
      <c r="O35" t="s">
        <v>25</v>
      </c>
      <c r="P35" t="s">
        <v>25</v>
      </c>
      <c r="Q35" s="169">
        <v>15499033</v>
      </c>
      <c r="R35" s="213" t="s">
        <v>4745</v>
      </c>
      <c r="S35" s="197">
        <f>S34-6</f>
        <v>121</v>
      </c>
      <c r="T35" s="213" t="s">
        <v>4749</v>
      </c>
      <c r="U35" s="213">
        <v>525.1</v>
      </c>
      <c r="V35" s="213">
        <f t="shared" si="6"/>
        <v>581.82230904109599</v>
      </c>
      <c r="W35" s="32">
        <f t="shared" si="14"/>
        <v>593.45875522191795</v>
      </c>
      <c r="X35" s="32">
        <f t="shared" si="15"/>
        <v>605.0952014027398</v>
      </c>
      <c r="Y35" s="96" t="s">
        <v>25</v>
      </c>
      <c r="Z35" s="96" t="s">
        <v>25</v>
      </c>
      <c r="AH35" s="99">
        <v>16</v>
      </c>
      <c r="AI35" s="113" t="s">
        <v>1144</v>
      </c>
      <c r="AJ35" s="113">
        <v>360000</v>
      </c>
      <c r="AK35" s="99">
        <v>2</v>
      </c>
      <c r="AL35" s="99">
        <f t="shared" si="10"/>
        <v>385</v>
      </c>
      <c r="AM35" s="113">
        <f t="shared" si="11"/>
        <v>138600000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918</v>
      </c>
      <c r="L36" s="117">
        <v>4800000</v>
      </c>
      <c r="M36" s="168" t="s">
        <v>4149</v>
      </c>
      <c r="N36" s="113">
        <f>-S153</f>
        <v>-617831916.7750901</v>
      </c>
      <c r="O36" s="96"/>
      <c r="P36" s="96" t="s">
        <v>25</v>
      </c>
      <c r="Q36" s="169">
        <v>30673673</v>
      </c>
      <c r="R36" s="213" t="s">
        <v>4753</v>
      </c>
      <c r="S36" s="197">
        <f>S35-1</f>
        <v>120</v>
      </c>
      <c r="T36" s="213" t="s">
        <v>4758</v>
      </c>
      <c r="U36" s="213">
        <v>529.79999999999995</v>
      </c>
      <c r="V36" s="213">
        <f t="shared" si="6"/>
        <v>586.62359013698631</v>
      </c>
      <c r="W36" s="32">
        <f t="shared" si="14"/>
        <v>598.35606193972603</v>
      </c>
      <c r="X36" s="32">
        <f t="shared" si="15"/>
        <v>610.08853374246576</v>
      </c>
      <c r="Y36" s="96" t="s">
        <v>25</v>
      </c>
      <c r="Z36" s="96"/>
      <c r="AH36" s="99">
        <v>17</v>
      </c>
      <c r="AI36" s="113" t="s">
        <v>3768</v>
      </c>
      <c r="AJ36" s="113">
        <v>-350000</v>
      </c>
      <c r="AK36" s="99">
        <v>0</v>
      </c>
      <c r="AL36" s="99">
        <f t="shared" si="10"/>
        <v>383</v>
      </c>
      <c r="AM36" s="113">
        <f t="shared" si="11"/>
        <v>-134050000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c r="L37" s="117"/>
      <c r="M37" s="168" t="s">
        <v>753</v>
      </c>
      <c r="N37" s="113">
        <v>500000</v>
      </c>
      <c r="O37" s="96" t="s">
        <v>25</v>
      </c>
      <c r="P37" s="122" t="s">
        <v>25</v>
      </c>
      <c r="Q37" s="169">
        <v>5420397</v>
      </c>
      <c r="R37" s="213" t="s">
        <v>4753</v>
      </c>
      <c r="S37" s="197">
        <f>S36</f>
        <v>120</v>
      </c>
      <c r="T37" s="213" t="s">
        <v>4759</v>
      </c>
      <c r="U37" s="213">
        <v>5395.9</v>
      </c>
      <c r="V37" s="213">
        <f t="shared" si="6"/>
        <v>5974.636145753424</v>
      </c>
      <c r="W37" s="32">
        <f t="shared" si="14"/>
        <v>6094.1288686684929</v>
      </c>
      <c r="X37" s="32">
        <f t="shared" si="15"/>
        <v>6213.621591583561</v>
      </c>
      <c r="Y37" s="96" t="s">
        <v>25</v>
      </c>
      <c r="Z37" s="96"/>
      <c r="AH37" s="99">
        <v>18</v>
      </c>
      <c r="AI37" s="113" t="s">
        <v>3768</v>
      </c>
      <c r="AJ37" s="113">
        <v>1000</v>
      </c>
      <c r="AK37" s="99">
        <v>1</v>
      </c>
      <c r="AL37" s="99">
        <f t="shared" si="10"/>
        <v>383</v>
      </c>
      <c r="AM37" s="113">
        <f t="shared" si="11"/>
        <v>383000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K38" s="168" t="s">
        <v>1086</v>
      </c>
      <c r="L38" s="117">
        <f>'خرید و فروش سکه فیزیکی'!M48*10*P53</f>
        <v>0</v>
      </c>
      <c r="M38" s="168" t="s">
        <v>760</v>
      </c>
      <c r="N38" s="113">
        <v>1200000</v>
      </c>
      <c r="O38" t="s">
        <v>25</v>
      </c>
      <c r="P38" t="s">
        <v>25</v>
      </c>
      <c r="Q38" s="169">
        <v>5809833</v>
      </c>
      <c r="R38" s="213" t="s">
        <v>4855</v>
      </c>
      <c r="S38" s="197">
        <f>S37-21</f>
        <v>99</v>
      </c>
      <c r="T38" s="213" t="s">
        <v>4859</v>
      </c>
      <c r="U38" s="213">
        <v>587.29999999999995</v>
      </c>
      <c r="V38" s="213">
        <f t="shared" si="6"/>
        <v>640.82957917808221</v>
      </c>
      <c r="W38" s="32">
        <f t="shared" si="14"/>
        <v>653.64617076164382</v>
      </c>
      <c r="X38" s="32">
        <f t="shared" si="15"/>
        <v>666.46276234520553</v>
      </c>
      <c r="Y38" s="96" t="s">
        <v>25</v>
      </c>
      <c r="Z38" s="96"/>
      <c r="AH38" s="99">
        <v>19</v>
      </c>
      <c r="AI38" s="113" t="s">
        <v>3772</v>
      </c>
      <c r="AJ38" s="113">
        <v>33610000</v>
      </c>
      <c r="AK38" s="99">
        <v>4</v>
      </c>
      <c r="AL38" s="99">
        <f t="shared" si="10"/>
        <v>382</v>
      </c>
      <c r="AM38" s="113">
        <f t="shared" si="11"/>
        <v>12839020000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K39" s="168" t="s">
        <v>5068</v>
      </c>
      <c r="L39" s="117">
        <v>-47500000</v>
      </c>
      <c r="M39" s="73"/>
      <c r="N39" s="113"/>
      <c r="O39" s="96" t="s">
        <v>25</v>
      </c>
      <c r="P39" s="96" t="s">
        <v>25</v>
      </c>
      <c r="Q39" s="169">
        <v>164707</v>
      </c>
      <c r="R39" s="213" t="s">
        <v>4906</v>
      </c>
      <c r="S39" s="197">
        <f>S38-28</f>
        <v>71</v>
      </c>
      <c r="T39" s="213" t="s">
        <v>4907</v>
      </c>
      <c r="U39" s="213">
        <v>633</v>
      </c>
      <c r="V39" s="213">
        <f t="shared" si="6"/>
        <v>677.09842191780831</v>
      </c>
      <c r="W39" s="32">
        <f t="shared" si="14"/>
        <v>690.64039035616452</v>
      </c>
      <c r="X39" s="32">
        <f t="shared" si="15"/>
        <v>704.18235879452061</v>
      </c>
      <c r="Y39" s="96"/>
      <c r="Z39" s="96"/>
      <c r="AA39" s="96"/>
      <c r="AB39" s="96"/>
      <c r="AC39" s="96"/>
      <c r="AD39" s="96"/>
      <c r="AH39" s="99">
        <v>20</v>
      </c>
      <c r="AI39" s="113" t="s">
        <v>4056</v>
      </c>
      <c r="AJ39" s="113">
        <v>-15600000</v>
      </c>
      <c r="AK39" s="99">
        <v>3</v>
      </c>
      <c r="AL39" s="99">
        <f t="shared" si="10"/>
        <v>378</v>
      </c>
      <c r="AM39" s="113">
        <f t="shared" si="11"/>
        <v>-5896800000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K40" s="168"/>
      <c r="L40" s="117"/>
      <c r="M40" s="168" t="s">
        <v>1086</v>
      </c>
      <c r="N40" s="113">
        <f>30*P53</f>
        <v>13860000</v>
      </c>
      <c r="O40" s="96"/>
      <c r="P40" s="96" t="s">
        <v>25</v>
      </c>
      <c r="Q40" s="169">
        <v>1204691</v>
      </c>
      <c r="R40" s="213" t="s">
        <v>4971</v>
      </c>
      <c r="S40" s="197">
        <f>S39-20</f>
        <v>51</v>
      </c>
      <c r="T40" s="213" t="s">
        <v>4972</v>
      </c>
      <c r="U40" s="213">
        <v>218.5</v>
      </c>
      <c r="V40" s="213">
        <f t="shared" si="6"/>
        <v>230.36963835616439</v>
      </c>
      <c r="W40" s="32">
        <f t="shared" si="14"/>
        <v>234.97703112328767</v>
      </c>
      <c r="X40" s="32">
        <f t="shared" si="15"/>
        <v>239.58442389041096</v>
      </c>
      <c r="Y40" s="96" t="s">
        <v>25</v>
      </c>
      <c r="Z40" s="96" t="s">
        <v>25</v>
      </c>
      <c r="AA40" s="96"/>
      <c r="AB40" s="96"/>
      <c r="AC40" s="96"/>
      <c r="AD40" s="96"/>
      <c r="AH40" s="99">
        <v>21</v>
      </c>
      <c r="AI40" s="113" t="s">
        <v>3786</v>
      </c>
      <c r="AJ40" s="113">
        <v>7500000</v>
      </c>
      <c r="AK40" s="99">
        <v>4</v>
      </c>
      <c r="AL40" s="99">
        <f t="shared" si="10"/>
        <v>375</v>
      </c>
      <c r="AM40" s="113">
        <f t="shared" si="11"/>
        <v>2812500000</v>
      </c>
      <c r="AN40" s="99"/>
      <c r="AP40" s="96"/>
      <c r="AQ40" s="96"/>
      <c r="AR40" s="96"/>
      <c r="AS40" s="96"/>
      <c r="AV40" s="96"/>
      <c r="AW40" s="96"/>
      <c r="AX40" s="96"/>
      <c r="AY40" s="96"/>
      <c r="AZ40" s="96"/>
      <c r="BA40" s="96"/>
      <c r="BB40" s="96"/>
    </row>
    <row r="41" spans="1:54" ht="16.5">
      <c r="A41" s="62">
        <v>99</v>
      </c>
      <c r="B41" s="11">
        <v>39</v>
      </c>
      <c r="C41" s="44">
        <f t="shared" si="4"/>
        <v>4727685.5496310312</v>
      </c>
      <c r="D41" s="3">
        <f t="shared" si="5"/>
        <v>3840434.9738783604</v>
      </c>
      <c r="E41" s="3">
        <f t="shared" si="12"/>
        <v>408835775.91539168</v>
      </c>
      <c r="F41" s="3"/>
      <c r="G41" s="11"/>
      <c r="H41" s="11"/>
      <c r="K41" s="168"/>
      <c r="L41" s="117"/>
      <c r="M41" s="168" t="s">
        <v>5066</v>
      </c>
      <c r="N41" s="113">
        <v>-18000000</v>
      </c>
      <c r="O41" s="244" t="s">
        <v>25</v>
      </c>
      <c r="P41" s="114"/>
      <c r="Q41" s="169">
        <v>15011877</v>
      </c>
      <c r="R41" s="213" t="s">
        <v>4975</v>
      </c>
      <c r="S41" s="197">
        <f>S40-3</f>
        <v>48</v>
      </c>
      <c r="T41" s="213" t="s">
        <v>4979</v>
      </c>
      <c r="U41" s="213">
        <v>197.1</v>
      </c>
      <c r="V41" s="213">
        <f t="shared" si="6"/>
        <v>207.35352000000003</v>
      </c>
      <c r="W41" s="32">
        <f t="shared" si="14"/>
        <v>211.50059040000005</v>
      </c>
      <c r="X41" s="32">
        <f t="shared" si="15"/>
        <v>215.64766080000004</v>
      </c>
      <c r="Y41" s="96"/>
      <c r="Z41" s="96"/>
      <c r="AA41" s="96"/>
      <c r="AB41" s="96"/>
      <c r="AC41" s="96"/>
      <c r="AD41" s="96"/>
      <c r="AH41" s="99">
        <v>22</v>
      </c>
      <c r="AI41" s="113" t="s">
        <v>4057</v>
      </c>
      <c r="AJ41" s="113">
        <v>-98000</v>
      </c>
      <c r="AK41" s="99">
        <v>1</v>
      </c>
      <c r="AL41" s="99">
        <f t="shared" si="10"/>
        <v>371</v>
      </c>
      <c r="AM41" s="113">
        <f t="shared" si="11"/>
        <v>-36358000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K42" s="168"/>
      <c r="L42" s="117"/>
      <c r="M42" s="168" t="s">
        <v>5067</v>
      </c>
      <c r="N42" s="113">
        <v>-47000000</v>
      </c>
      <c r="O42" s="96" t="s">
        <v>25</v>
      </c>
      <c r="P42" s="96" t="s">
        <v>25</v>
      </c>
      <c r="Q42" s="169">
        <v>35272425</v>
      </c>
      <c r="R42" s="213" t="s">
        <v>4990</v>
      </c>
      <c r="S42" s="197">
        <f>S41-5</f>
        <v>43</v>
      </c>
      <c r="T42" s="213" t="s">
        <v>4993</v>
      </c>
      <c r="U42" s="213">
        <v>4730.8999999999996</v>
      </c>
      <c r="V42" s="213">
        <f t="shared" si="6"/>
        <v>4958.8645731506849</v>
      </c>
      <c r="W42" s="32">
        <f t="shared" si="14"/>
        <v>5058.0418646136986</v>
      </c>
      <c r="X42" s="32">
        <f t="shared" si="15"/>
        <v>5157.2191560767124</v>
      </c>
      <c r="Y42" s="115" t="s">
        <v>25</v>
      </c>
      <c r="Z42" s="115"/>
      <c r="AA42" s="115"/>
      <c r="AB42" s="115"/>
      <c r="AC42" s="115"/>
      <c r="AD42" s="115"/>
      <c r="AE42" s="115"/>
      <c r="AF42" s="115"/>
      <c r="AH42" s="99">
        <v>23</v>
      </c>
      <c r="AI42" s="113" t="s">
        <v>4051</v>
      </c>
      <c r="AJ42" s="113">
        <v>-26000000</v>
      </c>
      <c r="AK42" s="99">
        <v>0</v>
      </c>
      <c r="AL42" s="99">
        <f t="shared" si="10"/>
        <v>370</v>
      </c>
      <c r="AM42" s="113">
        <f t="shared" si="11"/>
        <v>-9620000000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168"/>
      <c r="N43" s="113"/>
      <c r="O43" s="96"/>
      <c r="P43" s="96" t="s">
        <v>25</v>
      </c>
      <c r="Q43" s="169">
        <v>3098904</v>
      </c>
      <c r="R43" s="213" t="s">
        <v>4991</v>
      </c>
      <c r="S43" s="197">
        <f>S42</f>
        <v>43</v>
      </c>
      <c r="T43" s="213" t="s">
        <v>4994</v>
      </c>
      <c r="U43" s="213">
        <v>671.9</v>
      </c>
      <c r="V43" s="213">
        <f t="shared" si="6"/>
        <v>704.27637589041103</v>
      </c>
      <c r="W43" s="32">
        <f t="shared" si="14"/>
        <v>718.36190340821929</v>
      </c>
      <c r="X43" s="32">
        <f t="shared" si="15"/>
        <v>732.44743092602755</v>
      </c>
      <c r="Y43" s="115"/>
      <c r="Z43" s="115"/>
      <c r="AA43" s="115" t="s">
        <v>25</v>
      </c>
      <c r="AB43" s="115"/>
      <c r="AC43" s="115"/>
      <c r="AD43" s="115"/>
      <c r="AE43" s="115"/>
      <c r="AF43" s="115"/>
      <c r="AH43" s="99">
        <v>24</v>
      </c>
      <c r="AI43" s="113" t="s">
        <v>4051</v>
      </c>
      <c r="AJ43" s="113">
        <v>25000000</v>
      </c>
      <c r="AK43" s="99">
        <v>1</v>
      </c>
      <c r="AL43" s="99">
        <f t="shared" si="10"/>
        <v>370</v>
      </c>
      <c r="AM43" s="113">
        <f t="shared" si="11"/>
        <v>9250000000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168" t="s">
        <v>4456</v>
      </c>
      <c r="N44" s="113">
        <v>1210115</v>
      </c>
      <c r="O44" t="s">
        <v>5143</v>
      </c>
      <c r="P44" t="s">
        <v>25</v>
      </c>
      <c r="Q44" s="169">
        <v>12803120</v>
      </c>
      <c r="R44" s="213" t="s">
        <v>4992</v>
      </c>
      <c r="S44" s="197">
        <f>S43</f>
        <v>43</v>
      </c>
      <c r="T44" s="213" t="s">
        <v>4995</v>
      </c>
      <c r="U44" s="213">
        <v>194.4</v>
      </c>
      <c r="V44" s="213">
        <f t="shared" si="6"/>
        <v>203.76741698630138</v>
      </c>
      <c r="W44" s="32">
        <f t="shared" si="14"/>
        <v>207.8427653260274</v>
      </c>
      <c r="X44" s="32">
        <f t="shared" si="15"/>
        <v>211.91811366575345</v>
      </c>
      <c r="Y44" s="115" t="s">
        <v>25</v>
      </c>
      <c r="Z44" s="115"/>
      <c r="AA44" s="115"/>
      <c r="AB44" s="115"/>
      <c r="AC44" s="115"/>
      <c r="AD44" s="115" t="s">
        <v>25</v>
      </c>
      <c r="AE44" s="115"/>
      <c r="AF44" s="115"/>
      <c r="AH44" s="99">
        <v>25</v>
      </c>
      <c r="AI44" s="113" t="s">
        <v>4052</v>
      </c>
      <c r="AJ44" s="113">
        <v>110000</v>
      </c>
      <c r="AK44" s="99">
        <v>1</v>
      </c>
      <c r="AL44" s="99">
        <f t="shared" si="10"/>
        <v>369</v>
      </c>
      <c r="AM44" s="113">
        <f t="shared" si="11"/>
        <v>40590000</v>
      </c>
      <c r="AN44" s="99"/>
      <c r="AQ44" s="96"/>
      <c r="AR44" s="96"/>
      <c r="AS44" s="96"/>
      <c r="AV44" s="96"/>
    </row>
    <row r="45" spans="1:54" ht="30">
      <c r="A45" s="62">
        <v>99</v>
      </c>
      <c r="B45" s="11">
        <v>43</v>
      </c>
      <c r="C45" s="50">
        <f t="shared" si="4"/>
        <v>4919648.5409651063</v>
      </c>
      <c r="D45" s="3">
        <f t="shared" si="5"/>
        <v>3996372.0339620672</v>
      </c>
      <c r="E45" s="3">
        <f t="shared" si="12"/>
        <v>446285309.07656044</v>
      </c>
      <c r="F45" s="3"/>
      <c r="G45" s="11"/>
      <c r="H45" s="11"/>
      <c r="K45" s="264" t="s">
        <v>5104</v>
      </c>
      <c r="L45" s="117">
        <v>-9795000</v>
      </c>
      <c r="M45" s="168"/>
      <c r="N45" s="113"/>
      <c r="O45" s="99"/>
      <c r="P45" s="99"/>
      <c r="Q45" s="169">
        <v>100562</v>
      </c>
      <c r="R45" s="213" t="s">
        <v>5001</v>
      </c>
      <c r="S45" s="197">
        <f>S44-6</f>
        <v>37</v>
      </c>
      <c r="T45" s="213" t="s">
        <v>5002</v>
      </c>
      <c r="U45" s="213">
        <v>190.3</v>
      </c>
      <c r="V45" s="213">
        <f t="shared" si="6"/>
        <v>198.59395178082195</v>
      </c>
      <c r="W45" s="32">
        <f t="shared" si="14"/>
        <v>202.56583081643839</v>
      </c>
      <c r="X45" s="32">
        <f t="shared" si="15"/>
        <v>206.53770985205483</v>
      </c>
      <c r="Y45" s="115"/>
      <c r="Z45" s="115"/>
      <c r="AA45" s="115"/>
      <c r="AB45" s="115"/>
      <c r="AC45" s="115" t="s">
        <v>25</v>
      </c>
      <c r="AD45" s="115" t="s">
        <v>25</v>
      </c>
      <c r="AE45" s="115"/>
      <c r="AF45" s="115" t="s">
        <v>25</v>
      </c>
      <c r="AH45" s="99">
        <v>26</v>
      </c>
      <c r="AI45" s="113" t="s">
        <v>3801</v>
      </c>
      <c r="AJ45" s="113">
        <v>380000</v>
      </c>
      <c r="AK45" s="99">
        <v>7</v>
      </c>
      <c r="AL45" s="99">
        <f t="shared" si="10"/>
        <v>368</v>
      </c>
      <c r="AM45" s="113">
        <f t="shared" si="11"/>
        <v>139840000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K46" s="99" t="s">
        <v>5123</v>
      </c>
      <c r="L46" s="117">
        <v>-7950000</v>
      </c>
      <c r="M46" s="21" t="s">
        <v>4566</v>
      </c>
      <c r="N46" s="117">
        <f t="shared" ref="N46:N53" si="16">O46*P46</f>
        <v>74510</v>
      </c>
      <c r="O46" s="69">
        <v>50</v>
      </c>
      <c r="P46" s="69">
        <v>1490.2</v>
      </c>
      <c r="Q46" s="169">
        <v>198647697</v>
      </c>
      <c r="R46" s="213" t="s">
        <v>5005</v>
      </c>
      <c r="S46" s="197">
        <f>S45-2</f>
        <v>35</v>
      </c>
      <c r="T46" s="213" t="s">
        <v>5054</v>
      </c>
      <c r="U46" s="213">
        <v>195.5</v>
      </c>
      <c r="V46" s="213">
        <f t="shared" si="6"/>
        <v>203.72064109589044</v>
      </c>
      <c r="W46" s="32">
        <f t="shared" si="14"/>
        <v>207.79505391780825</v>
      </c>
      <c r="X46" s="32">
        <f t="shared" si="15"/>
        <v>211.86946673972608</v>
      </c>
      <c r="Y46" s="115" t="s">
        <v>25</v>
      </c>
      <c r="Z46" s="115"/>
      <c r="AA46" s="115"/>
      <c r="AB46" s="115"/>
      <c r="AC46" s="115"/>
      <c r="AD46" s="115"/>
      <c r="AE46" s="115"/>
      <c r="AF46" s="115"/>
      <c r="AH46" s="99">
        <v>27</v>
      </c>
      <c r="AI46" s="113" t="s">
        <v>3887</v>
      </c>
      <c r="AJ46" s="113">
        <v>450000</v>
      </c>
      <c r="AK46" s="99">
        <v>6</v>
      </c>
      <c r="AL46" s="99">
        <f t="shared" si="10"/>
        <v>361</v>
      </c>
      <c r="AM46" s="113">
        <f t="shared" si="11"/>
        <v>162450000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c r="L47" s="117"/>
      <c r="M47" s="21" t="s">
        <v>4389</v>
      </c>
      <c r="N47" s="117">
        <f t="shared" si="16"/>
        <v>105294</v>
      </c>
      <c r="O47" s="69">
        <v>23</v>
      </c>
      <c r="P47" s="69">
        <v>4578</v>
      </c>
      <c r="Q47" s="169">
        <v>118852</v>
      </c>
      <c r="R47" s="213" t="s">
        <v>5034</v>
      </c>
      <c r="S47" s="197">
        <f>S46-12</f>
        <v>23</v>
      </c>
      <c r="T47" s="213" t="s">
        <v>5035</v>
      </c>
      <c r="U47" s="213">
        <v>739.4</v>
      </c>
      <c r="V47" s="213">
        <f t="shared" si="6"/>
        <v>763.68473205479461</v>
      </c>
      <c r="W47" s="32">
        <f t="shared" si="14"/>
        <v>778.95842669589047</v>
      </c>
      <c r="X47" s="32">
        <f t="shared" si="15"/>
        <v>794.23212133698644</v>
      </c>
      <c r="Y47" s="122" t="s">
        <v>25</v>
      </c>
      <c r="Z47" s="115"/>
      <c r="AA47" s="115"/>
      <c r="AB47" s="115"/>
      <c r="AC47" s="115"/>
      <c r="AD47" s="115" t="s">
        <v>25</v>
      </c>
      <c r="AE47" s="115"/>
      <c r="AF47" s="115"/>
      <c r="AH47" s="99">
        <v>28</v>
      </c>
      <c r="AI47" s="113" t="s">
        <v>3911</v>
      </c>
      <c r="AJ47" s="113">
        <v>2800000</v>
      </c>
      <c r="AK47" s="99">
        <v>1</v>
      </c>
      <c r="AL47" s="99">
        <f t="shared" si="10"/>
        <v>355</v>
      </c>
      <c r="AM47" s="113">
        <f t="shared" si="11"/>
        <v>994000000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9" t="s">
        <v>4393</v>
      </c>
      <c r="N48" s="113">
        <f t="shared" si="16"/>
        <v>0</v>
      </c>
      <c r="O48" s="69">
        <v>0</v>
      </c>
      <c r="P48" s="69">
        <v>5278.4</v>
      </c>
      <c r="Q48" s="169">
        <v>109071</v>
      </c>
      <c r="R48" s="213" t="s">
        <v>5044</v>
      </c>
      <c r="S48" s="197">
        <f>S47-2</f>
        <v>21</v>
      </c>
      <c r="T48" s="213" t="s">
        <v>5048</v>
      </c>
      <c r="U48" s="213">
        <v>4720.8</v>
      </c>
      <c r="V48" s="213">
        <f t="shared" si="6"/>
        <v>4868.606307945206</v>
      </c>
      <c r="W48" s="32">
        <f t="shared" si="14"/>
        <v>4965.9784341041104</v>
      </c>
      <c r="X48" s="32">
        <f t="shared" si="15"/>
        <v>5063.3505602630148</v>
      </c>
      <c r="Y48" s="115" t="s">
        <v>25</v>
      </c>
      <c r="Z48" s="115"/>
      <c r="AA48" s="115"/>
      <c r="AB48" s="115" t="s">
        <v>25</v>
      </c>
      <c r="AC48" s="115"/>
      <c r="AD48" s="115"/>
      <c r="AE48" s="115"/>
      <c r="AF48" s="115"/>
      <c r="AH48" s="99">
        <v>29</v>
      </c>
      <c r="AI48" s="113" t="s">
        <v>3912</v>
      </c>
      <c r="AJ48" s="113">
        <v>-1500000</v>
      </c>
      <c r="AK48" s="99">
        <v>0</v>
      </c>
      <c r="AL48" s="99">
        <f t="shared" si="10"/>
        <v>354</v>
      </c>
      <c r="AM48" s="113">
        <f t="shared" si="11"/>
        <v>-531000000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c r="L49" s="117"/>
      <c r="M49" s="19" t="s">
        <v>5106</v>
      </c>
      <c r="N49" s="113">
        <f t="shared" si="16"/>
        <v>205585.5</v>
      </c>
      <c r="O49" s="69">
        <v>303</v>
      </c>
      <c r="P49" s="69">
        <v>678.5</v>
      </c>
      <c r="Q49" s="169">
        <v>9986627</v>
      </c>
      <c r="R49" s="213" t="s">
        <v>5056</v>
      </c>
      <c r="S49" s="197">
        <f>S48-7</f>
        <v>14</v>
      </c>
      <c r="T49" s="213" t="s">
        <v>5061</v>
      </c>
      <c r="U49" s="213">
        <v>200.2</v>
      </c>
      <c r="V49" s="213">
        <f t="shared" si="6"/>
        <v>205.39313315068497</v>
      </c>
      <c r="W49" s="32">
        <f t="shared" si="14"/>
        <v>209.50099581369867</v>
      </c>
      <c r="X49" s="32">
        <f t="shared" si="15"/>
        <v>213.60885847671238</v>
      </c>
      <c r="Y49" s="122" t="s">
        <v>25</v>
      </c>
      <c r="AC49" t="s">
        <v>25</v>
      </c>
      <c r="AD49" t="s">
        <v>25</v>
      </c>
      <c r="AF49" s="115"/>
      <c r="AH49" s="99">
        <v>30</v>
      </c>
      <c r="AI49" s="113" t="s">
        <v>3912</v>
      </c>
      <c r="AJ49" s="113">
        <v>3050000</v>
      </c>
      <c r="AK49" s="99">
        <v>3</v>
      </c>
      <c r="AL49" s="99">
        <f>AL50+AK49</f>
        <v>354</v>
      </c>
      <c r="AM49" s="113">
        <f t="shared" si="11"/>
        <v>1079700000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19" t="s">
        <v>4408</v>
      </c>
      <c r="N50" s="117">
        <f t="shared" si="16"/>
        <v>133547853.60000001</v>
      </c>
      <c r="O50" s="69">
        <v>185948</v>
      </c>
      <c r="P50" s="69">
        <v>718.2</v>
      </c>
      <c r="Q50" s="169">
        <v>499908</v>
      </c>
      <c r="R50" s="213" t="s">
        <v>5064</v>
      </c>
      <c r="S50" s="197">
        <f>S49-1</f>
        <v>13</v>
      </c>
      <c r="T50" s="213" t="s">
        <v>5069</v>
      </c>
      <c r="U50" s="213">
        <v>200</v>
      </c>
      <c r="V50" s="213">
        <f t="shared" si="6"/>
        <v>205.03452054794522</v>
      </c>
      <c r="W50" s="32">
        <f t="shared" si="14"/>
        <v>209.13521095890414</v>
      </c>
      <c r="X50" s="32">
        <f t="shared" si="15"/>
        <v>213.23590136986303</v>
      </c>
      <c r="Y50" t="s">
        <v>25</v>
      </c>
      <c r="AA50" s="96"/>
      <c r="AH50" s="99">
        <v>31</v>
      </c>
      <c r="AI50" s="113" t="s">
        <v>3936</v>
      </c>
      <c r="AJ50" s="113">
        <v>-8299612</v>
      </c>
      <c r="AK50" s="99">
        <v>2</v>
      </c>
      <c r="AL50" s="99">
        <f t="shared" si="10"/>
        <v>351</v>
      </c>
      <c r="AM50" s="113">
        <f t="shared" si="11"/>
        <v>-2913163812</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9" t="s">
        <v>5144</v>
      </c>
      <c r="N51" s="117">
        <f t="shared" si="16"/>
        <v>28980</v>
      </c>
      <c r="O51" s="69">
        <v>92</v>
      </c>
      <c r="P51" s="69">
        <v>315</v>
      </c>
      <c r="Q51" s="169">
        <v>850188</v>
      </c>
      <c r="R51" s="213" t="s">
        <v>5072</v>
      </c>
      <c r="S51" s="197">
        <f>S50-1</f>
        <v>12</v>
      </c>
      <c r="T51" s="213" t="s">
        <v>5073</v>
      </c>
      <c r="U51" s="213">
        <v>201.9</v>
      </c>
      <c r="V51" s="213">
        <f t="shared" si="6"/>
        <v>206.8274663013699</v>
      </c>
      <c r="W51" s="32">
        <f t="shared" si="14"/>
        <v>210.96401562739729</v>
      </c>
      <c r="X51" s="32">
        <f t="shared" si="15"/>
        <v>215.10056495342471</v>
      </c>
      <c r="AA51" s="96"/>
      <c r="AH51" s="99">
        <v>32</v>
      </c>
      <c r="AI51" s="113" t="s">
        <v>3931</v>
      </c>
      <c r="AJ51" s="113">
        <v>5000000</v>
      </c>
      <c r="AK51" s="99">
        <v>14</v>
      </c>
      <c r="AL51" s="99">
        <f t="shared" si="10"/>
        <v>349</v>
      </c>
      <c r="AM51" s="113">
        <f t="shared" si="11"/>
        <v>1745000000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56"/>
      <c r="L52" s="117"/>
      <c r="M52" s="19" t="s">
        <v>4179</v>
      </c>
      <c r="N52" s="113">
        <f t="shared" si="16"/>
        <v>624712629.19999993</v>
      </c>
      <c r="O52" s="99">
        <v>2726812</v>
      </c>
      <c r="P52" s="99">
        <v>229.1</v>
      </c>
      <c r="Q52" s="169">
        <v>119890</v>
      </c>
      <c r="R52" s="213" t="s">
        <v>5087</v>
      </c>
      <c r="S52" s="197">
        <f>S51-6</f>
        <v>6</v>
      </c>
      <c r="T52" s="213" t="s">
        <v>5089</v>
      </c>
      <c r="U52" s="213">
        <v>210.1</v>
      </c>
      <c r="V52" s="213">
        <f t="shared" si="6"/>
        <v>214.26055561643835</v>
      </c>
      <c r="W52" s="32">
        <f t="shared" si="14"/>
        <v>218.54576672876712</v>
      </c>
      <c r="X52" s="32">
        <f t="shared" si="15"/>
        <v>222.83097784109589</v>
      </c>
      <c r="Y52" t="s">
        <v>25</v>
      </c>
      <c r="AA52" s="96"/>
      <c r="AH52" s="99">
        <v>33</v>
      </c>
      <c r="AI52" s="113" t="s">
        <v>990</v>
      </c>
      <c r="AJ52" s="113">
        <v>-90000</v>
      </c>
      <c r="AK52" s="99">
        <v>1</v>
      </c>
      <c r="AL52" s="99">
        <f t="shared" si="10"/>
        <v>335</v>
      </c>
      <c r="AM52" s="113">
        <f t="shared" si="11"/>
        <v>-30150000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21" t="s">
        <v>1086</v>
      </c>
      <c r="N53" s="117">
        <f t="shared" si="16"/>
        <v>0</v>
      </c>
      <c r="O53" s="69">
        <v>0</v>
      </c>
      <c r="P53" s="69">
        <v>462000</v>
      </c>
      <c r="Q53" s="169">
        <v>155246</v>
      </c>
      <c r="R53" s="213" t="s">
        <v>5101</v>
      </c>
      <c r="S53" s="197">
        <f>S52-5</f>
        <v>1</v>
      </c>
      <c r="T53" s="213" t="s">
        <v>5107</v>
      </c>
      <c r="U53" s="213">
        <v>510</v>
      </c>
      <c r="V53" s="213">
        <f t="shared" si="6"/>
        <v>518.14323287671232</v>
      </c>
      <c r="W53" s="32">
        <f t="shared" si="14"/>
        <v>528.50609753424658</v>
      </c>
      <c r="X53" s="32">
        <f t="shared" si="15"/>
        <v>538.86896219178084</v>
      </c>
      <c r="Y53" t="s">
        <v>25</v>
      </c>
      <c r="Z53" t="s">
        <v>25</v>
      </c>
      <c r="AH53" s="99">
        <v>34</v>
      </c>
      <c r="AI53" s="113" t="s">
        <v>4053</v>
      </c>
      <c r="AJ53" s="113">
        <v>5600000</v>
      </c>
      <c r="AK53" s="99">
        <v>4</v>
      </c>
      <c r="AL53" s="99">
        <f t="shared" si="10"/>
        <v>334</v>
      </c>
      <c r="AM53" s="113">
        <f t="shared" si="11"/>
        <v>1870400000</v>
      </c>
      <c r="AN53" s="99"/>
    </row>
    <row r="54" spans="1:45">
      <c r="A54" s="63">
        <v>1400</v>
      </c>
      <c r="B54" s="11">
        <v>52</v>
      </c>
      <c r="C54" s="49">
        <f t="shared" si="4"/>
        <v>5380547.1560366414</v>
      </c>
      <c r="D54" s="3">
        <f t="shared" si="5"/>
        <v>4370773.2377119577</v>
      </c>
      <c r="E54" s="3">
        <f t="shared" si="12"/>
        <v>542808580.73450804</v>
      </c>
      <c r="F54" s="3"/>
      <c r="G54" s="11"/>
      <c r="H54" s="11"/>
      <c r="K54" s="99"/>
      <c r="L54" s="117"/>
      <c r="M54" s="73"/>
      <c r="N54" s="117"/>
      <c r="O54" s="122"/>
      <c r="P54" s="122"/>
      <c r="Q54" s="169">
        <v>102858</v>
      </c>
      <c r="R54" s="213" t="s">
        <v>5109</v>
      </c>
      <c r="S54" s="197">
        <f>S53-1</f>
        <v>0</v>
      </c>
      <c r="T54" s="213" t="s">
        <v>5112</v>
      </c>
      <c r="U54" s="213">
        <v>213.3</v>
      </c>
      <c r="V54" s="213">
        <f t="shared" si="6"/>
        <v>216.54216000000002</v>
      </c>
      <c r="W54" s="32">
        <f t="shared" si="14"/>
        <v>220.87300320000003</v>
      </c>
      <c r="X54" s="32">
        <f t="shared" si="15"/>
        <v>225.20384640000003</v>
      </c>
      <c r="Y54" t="s">
        <v>25</v>
      </c>
      <c r="AH54" s="99">
        <v>35</v>
      </c>
      <c r="AI54" s="113" t="s">
        <v>3981</v>
      </c>
      <c r="AJ54" s="113">
        <v>750000</v>
      </c>
      <c r="AK54" s="99">
        <v>2</v>
      </c>
      <c r="AL54" s="99">
        <f t="shared" si="10"/>
        <v>330</v>
      </c>
      <c r="AM54" s="113">
        <f t="shared" si="11"/>
        <v>247500000</v>
      </c>
      <c r="AN54" s="99"/>
    </row>
    <row r="55" spans="1:45">
      <c r="A55" s="63">
        <v>1400</v>
      </c>
      <c r="B55" s="11">
        <v>53</v>
      </c>
      <c r="C55" s="49">
        <f t="shared" si="4"/>
        <v>5434352.6275970079</v>
      </c>
      <c r="D55" s="3">
        <f t="shared" si="5"/>
        <v>4414480.970089077</v>
      </c>
      <c r="E55" s="3">
        <f t="shared" si="12"/>
        <v>554684624.00670612</v>
      </c>
      <c r="F55" s="3"/>
      <c r="G55" s="11"/>
      <c r="H55" s="11"/>
      <c r="K55" s="99"/>
      <c r="L55" s="117"/>
      <c r="M55" s="168" t="s">
        <v>1152</v>
      </c>
      <c r="N55" s="117">
        <v>14908</v>
      </c>
      <c r="O55" s="96"/>
      <c r="P55" t="s">
        <v>25</v>
      </c>
      <c r="Q55" s="169">
        <v>1324444</v>
      </c>
      <c r="R55" s="213" t="s">
        <v>5109</v>
      </c>
      <c r="S55" s="197">
        <f>S54</f>
        <v>0</v>
      </c>
      <c r="T55" s="213" t="s">
        <v>5113</v>
      </c>
      <c r="U55" s="213">
        <v>821.9</v>
      </c>
      <c r="V55" s="213">
        <f t="shared" si="6"/>
        <v>834.3928800000001</v>
      </c>
      <c r="W55" s="32">
        <f t="shared" si="14"/>
        <v>851.08073760000013</v>
      </c>
      <c r="X55" s="32">
        <f t="shared" si="15"/>
        <v>867.76859520000016</v>
      </c>
      <c r="Y55" t="s">
        <v>25</v>
      </c>
      <c r="AH55" s="171">
        <v>36</v>
      </c>
      <c r="AI55" s="170" t="s">
        <v>3991</v>
      </c>
      <c r="AJ55" s="170">
        <v>-4242000</v>
      </c>
      <c r="AK55" s="171">
        <v>2</v>
      </c>
      <c r="AL55" s="171">
        <f t="shared" si="10"/>
        <v>328</v>
      </c>
      <c r="AM55" s="170">
        <f t="shared" si="11"/>
        <v>-1391376000</v>
      </c>
      <c r="AN55" s="171" t="s">
        <v>4062</v>
      </c>
    </row>
    <row r="56" spans="1:45">
      <c r="A56" s="63">
        <v>1400</v>
      </c>
      <c r="B56" s="11">
        <v>54</v>
      </c>
      <c r="C56" s="49">
        <f t="shared" si="4"/>
        <v>5488696.1538729779</v>
      </c>
      <c r="D56" s="3">
        <f t="shared" si="5"/>
        <v>4458625.7797899675</v>
      </c>
      <c r="E56" s="3">
        <f t="shared" si="12"/>
        <v>566808386.86092329</v>
      </c>
      <c r="F56" s="3"/>
      <c r="G56" s="11"/>
      <c r="H56" s="11"/>
      <c r="K56" s="99"/>
      <c r="L56" s="99"/>
      <c r="M56" s="168" t="s">
        <v>1153</v>
      </c>
      <c r="N56" s="117">
        <v>5282</v>
      </c>
      <c r="O56" s="96" t="s">
        <v>25</v>
      </c>
      <c r="P56" t="s">
        <v>25</v>
      </c>
      <c r="Q56" s="169">
        <v>9991144</v>
      </c>
      <c r="R56" s="213" t="s">
        <v>5117</v>
      </c>
      <c r="S56" s="197">
        <f>S55-2</f>
        <v>-2</v>
      </c>
      <c r="T56" s="213" t="s">
        <v>5119</v>
      </c>
      <c r="U56" s="213">
        <v>221</v>
      </c>
      <c r="V56" s="213">
        <f t="shared" si="6"/>
        <v>224.02013150684934</v>
      </c>
      <c r="W56" s="32">
        <f t="shared" si="14"/>
        <v>228.50053413698632</v>
      </c>
      <c r="X56" s="32">
        <f t="shared" si="15"/>
        <v>232.98093676712332</v>
      </c>
      <c r="Y56" s="96" t="s">
        <v>25</v>
      </c>
      <c r="AH56" s="99">
        <v>37</v>
      </c>
      <c r="AI56" s="113" t="s">
        <v>3991</v>
      </c>
      <c r="AJ56" s="113">
        <v>4100000</v>
      </c>
      <c r="AK56" s="99">
        <v>0</v>
      </c>
      <c r="AL56" s="99">
        <f t="shared" si="10"/>
        <v>326</v>
      </c>
      <c r="AM56" s="113">
        <f t="shared" si="11"/>
        <v>1336600000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O57" s="115"/>
      <c r="P57" s="115"/>
      <c r="Q57" s="169">
        <v>10007690</v>
      </c>
      <c r="R57" s="213" t="s">
        <v>5117</v>
      </c>
      <c r="S57" s="197">
        <f>S56</f>
        <v>-2</v>
      </c>
      <c r="T57" s="213" t="s">
        <v>5120</v>
      </c>
      <c r="U57" s="213">
        <v>4530</v>
      </c>
      <c r="V57" s="213">
        <f t="shared" si="6"/>
        <v>4591.9058630136988</v>
      </c>
      <c r="W57" s="32">
        <f t="shared" si="14"/>
        <v>4683.7439802739727</v>
      </c>
      <c r="X57" s="32">
        <f t="shared" si="15"/>
        <v>4775.5820975342467</v>
      </c>
      <c r="AH57" s="99">
        <v>38</v>
      </c>
      <c r="AI57" s="113" t="s">
        <v>3997</v>
      </c>
      <c r="AJ57" s="113">
        <v>4100000</v>
      </c>
      <c r="AK57" s="99">
        <v>1</v>
      </c>
      <c r="AL57" s="99">
        <f t="shared" si="10"/>
        <v>326</v>
      </c>
      <c r="AM57" s="113">
        <f t="shared" si="11"/>
        <v>1336600000</v>
      </c>
      <c r="AN57" s="99"/>
    </row>
    <row r="58" spans="1:45">
      <c r="A58" s="63">
        <v>1400</v>
      </c>
      <c r="B58" s="11">
        <v>56</v>
      </c>
      <c r="C58" s="50">
        <f t="shared" si="4"/>
        <v>5599018.9465658255</v>
      </c>
      <c r="D58" s="3">
        <f t="shared" si="5"/>
        <v>4548244.1579637462</v>
      </c>
      <c r="E58" s="3">
        <f t="shared" si="12"/>
        <v>591819398.97808707</v>
      </c>
      <c r="F58" s="3"/>
      <c r="G58" s="11"/>
      <c r="H58" s="11"/>
      <c r="K58" s="168" t="s">
        <v>25</v>
      </c>
      <c r="L58" s="117"/>
      <c r="M58" s="168"/>
      <c r="N58" s="113"/>
      <c r="O58" s="99"/>
      <c r="P58" s="99"/>
      <c r="Q58" s="169">
        <v>29111</v>
      </c>
      <c r="R58" s="213" t="s">
        <v>5140</v>
      </c>
      <c r="S58" s="197">
        <f>S57-7</f>
        <v>-9</v>
      </c>
      <c r="T58" s="213" t="s">
        <v>5145</v>
      </c>
      <c r="U58" s="213">
        <v>315</v>
      </c>
      <c r="V58" s="213">
        <f t="shared" si="6"/>
        <v>317.61320547945206</v>
      </c>
      <c r="W58" s="32">
        <f t="shared" si="14"/>
        <v>323.96546958904111</v>
      </c>
      <c r="X58" s="32">
        <f t="shared" si="15"/>
        <v>330.31773369863015</v>
      </c>
      <c r="Y58" t="s">
        <v>25</v>
      </c>
      <c r="AH58" s="99">
        <v>39</v>
      </c>
      <c r="AI58" s="113" t="s">
        <v>4006</v>
      </c>
      <c r="AJ58" s="113">
        <v>790000</v>
      </c>
      <c r="AK58" s="99">
        <v>15</v>
      </c>
      <c r="AL58" s="99">
        <f t="shared" si="10"/>
        <v>325</v>
      </c>
      <c r="AM58" s="113">
        <f t="shared" si="11"/>
        <v>256750000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Q59" s="169"/>
      <c r="R59" s="168"/>
      <c r="S59" s="168"/>
      <c r="T59" s="168"/>
      <c r="U59" s="168"/>
      <c r="V59" s="213">
        <f t="shared" si="6"/>
        <v>0</v>
      </c>
      <c r="W59" s="32">
        <f t="shared" si="14"/>
        <v>0</v>
      </c>
      <c r="X59" s="32">
        <f t="shared" si="15"/>
        <v>0</v>
      </c>
      <c r="Y59" t="s">
        <v>25</v>
      </c>
      <c r="Z59" s="96"/>
      <c r="AA59" s="96"/>
      <c r="AB59" s="96"/>
      <c r="AC59" s="96"/>
      <c r="AH59" s="171">
        <v>40</v>
      </c>
      <c r="AI59" s="170" t="s">
        <v>4037</v>
      </c>
      <c r="AJ59" s="170">
        <v>-3865000</v>
      </c>
      <c r="AK59" s="171">
        <v>6</v>
      </c>
      <c r="AL59" s="171">
        <f t="shared" si="10"/>
        <v>310</v>
      </c>
      <c r="AM59" s="172">
        <f t="shared" si="11"/>
        <v>-1198150000</v>
      </c>
      <c r="AN59" s="171" t="s">
        <v>4063</v>
      </c>
    </row>
    <row r="60" spans="1:45">
      <c r="A60" s="63">
        <v>1400</v>
      </c>
      <c r="B60" s="11">
        <v>58</v>
      </c>
      <c r="C60" s="3">
        <f t="shared" si="4"/>
        <v>5711559.227391799</v>
      </c>
      <c r="D60" s="3">
        <f t="shared" si="5"/>
        <v>4639663.8655388169</v>
      </c>
      <c r="E60" s="3">
        <f t="shared" si="12"/>
        <v>617883306.24587286</v>
      </c>
      <c r="F60" s="3"/>
      <c r="G60" s="11"/>
      <c r="H60" s="11"/>
      <c r="K60" s="168"/>
      <c r="L60" s="117"/>
      <c r="M60" s="168"/>
      <c r="N60" s="113"/>
      <c r="Q60" s="169">
        <f>SUM(N21:N26)-SUM(Q20:Q59)</f>
        <v>78032054.299999952</v>
      </c>
      <c r="R60" s="168"/>
      <c r="S60" s="168" t="s">
        <v>25</v>
      </c>
      <c r="T60" s="168"/>
      <c r="U60" s="168"/>
      <c r="V60" s="168"/>
      <c r="W60" s="32"/>
      <c r="X60" s="32"/>
      <c r="Y60" t="s">
        <v>25</v>
      </c>
      <c r="Z60" s="96"/>
      <c r="AA60" s="96"/>
      <c r="AB60" s="96"/>
      <c r="AC60" s="96"/>
      <c r="AH60" s="20">
        <v>41</v>
      </c>
      <c r="AI60" s="117" t="s">
        <v>4067</v>
      </c>
      <c r="AJ60" s="117">
        <v>18800000</v>
      </c>
      <c r="AK60" s="20">
        <v>3</v>
      </c>
      <c r="AL60" s="99">
        <f t="shared" si="10"/>
        <v>304</v>
      </c>
      <c r="AM60" s="113">
        <f t="shared" si="11"/>
        <v>5715200000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t="s">
        <v>4443</v>
      </c>
      <c r="N61" s="113">
        <f>-S154</f>
        <v>-19602340.069931939</v>
      </c>
      <c r="R61" s="115"/>
      <c r="S61" s="115" t="s">
        <v>25</v>
      </c>
      <c r="T61" s="115"/>
      <c r="U61" s="115" t="s">
        <v>25</v>
      </c>
      <c r="V61" s="115" t="s">
        <v>25</v>
      </c>
      <c r="W61" s="194" t="s">
        <v>25</v>
      </c>
      <c r="X61" s="194"/>
      <c r="Y61" t="s">
        <v>25</v>
      </c>
      <c r="Z61" s="96"/>
      <c r="AA61" s="96"/>
      <c r="AB61" s="96"/>
      <c r="AC61" s="96"/>
      <c r="AH61" s="20">
        <v>42</v>
      </c>
      <c r="AI61" s="117" t="s">
        <v>4084</v>
      </c>
      <c r="AJ61" s="117">
        <v>500000</v>
      </c>
      <c r="AK61" s="20">
        <v>1</v>
      </c>
      <c r="AL61" s="99">
        <f t="shared" si="10"/>
        <v>301</v>
      </c>
      <c r="AM61" s="113">
        <f t="shared" si="11"/>
        <v>150500000</v>
      </c>
      <c r="AN61" s="20"/>
    </row>
    <row r="62" spans="1:45">
      <c r="A62" s="63">
        <v>1400</v>
      </c>
      <c r="B62" s="11">
        <v>60</v>
      </c>
      <c r="C62" s="3">
        <f t="shared" si="4"/>
        <v>5826361.5678623738</v>
      </c>
      <c r="D62" s="3">
        <f t="shared" si="5"/>
        <v>4732921.1092361463</v>
      </c>
      <c r="E62" s="46">
        <f t="shared" si="12"/>
        <v>645043498.87861323</v>
      </c>
      <c r="F62" s="3"/>
      <c r="G62" s="11"/>
      <c r="H62" s="11"/>
      <c r="K62" s="168"/>
      <c r="L62" s="117"/>
      <c r="M62" s="168"/>
      <c r="N62" s="113"/>
      <c r="P62" t="s">
        <v>25</v>
      </c>
      <c r="Q62" s="96"/>
      <c r="R62" s="115"/>
      <c r="S62" s="115"/>
      <c r="T62" s="115" t="s">
        <v>25</v>
      </c>
      <c r="U62" s="115" t="s">
        <v>25</v>
      </c>
      <c r="V62" s="115"/>
      <c r="W62" s="194"/>
      <c r="X62" s="194" t="s">
        <v>25</v>
      </c>
      <c r="Y62" t="s">
        <v>25</v>
      </c>
      <c r="Z62" s="96"/>
      <c r="AA62" s="96"/>
      <c r="AB62" s="96"/>
      <c r="AC62" s="96"/>
      <c r="AH62" s="20">
        <v>43</v>
      </c>
      <c r="AI62" s="117" t="s">
        <v>4088</v>
      </c>
      <c r="AJ62" s="117">
        <v>200000</v>
      </c>
      <c r="AK62" s="20">
        <v>3</v>
      </c>
      <c r="AL62" s="99">
        <f>AL63+AK62</f>
        <v>300</v>
      </c>
      <c r="AM62" s="113">
        <f t="shared" si="11"/>
        <v>60000000</v>
      </c>
      <c r="AN62" s="20"/>
    </row>
    <row r="63" spans="1:45">
      <c r="E63" s="26"/>
      <c r="K63" s="168"/>
      <c r="L63" s="117"/>
      <c r="M63" s="168"/>
      <c r="N63" s="113"/>
      <c r="O63" t="s">
        <v>25</v>
      </c>
      <c r="P63" t="s">
        <v>25</v>
      </c>
      <c r="Q63" s="168" t="s">
        <v>657</v>
      </c>
      <c r="R63" s="168"/>
      <c r="S63" s="168"/>
      <c r="T63" s="168"/>
      <c r="U63" s="168"/>
      <c r="V63" s="168"/>
      <c r="W63" s="32"/>
      <c r="X63" s="32"/>
      <c r="Y63" t="s">
        <v>25</v>
      </c>
      <c r="Z63" s="96"/>
      <c r="AA63" s="96"/>
      <c r="AB63" s="96"/>
      <c r="AC63" s="96"/>
      <c r="AH63" s="20">
        <v>44</v>
      </c>
      <c r="AI63" s="117" t="s">
        <v>4095</v>
      </c>
      <c r="AJ63" s="117">
        <v>1000000</v>
      </c>
      <c r="AK63" s="20">
        <v>3</v>
      </c>
      <c r="AL63" s="99">
        <f t="shared" si="10"/>
        <v>297</v>
      </c>
      <c r="AM63" s="113">
        <f t="shared" si="11"/>
        <v>297000000</v>
      </c>
      <c r="AN63" s="20"/>
    </row>
    <row r="64" spans="1:45" ht="30">
      <c r="E64" s="26"/>
      <c r="K64" s="168" t="s">
        <v>598</v>
      </c>
      <c r="L64" s="113">
        <f>SUM(L16:L50)</f>
        <v>548521084.7750901</v>
      </c>
      <c r="M64" s="168"/>
      <c r="N64" s="113">
        <f>SUM(N16:N63)</f>
        <v>637179863.95497787</v>
      </c>
      <c r="Q64" s="168" t="s">
        <v>267</v>
      </c>
      <c r="R64" s="168" t="s">
        <v>180</v>
      </c>
      <c r="S64" s="168" t="s">
        <v>183</v>
      </c>
      <c r="T64" s="168" t="s">
        <v>8</v>
      </c>
      <c r="U64" s="168" t="s">
        <v>4362</v>
      </c>
      <c r="V64" s="73" t="s">
        <v>4364</v>
      </c>
      <c r="W64" s="32">
        <v>2</v>
      </c>
      <c r="X64" s="32">
        <v>4</v>
      </c>
      <c r="Z64" s="96"/>
      <c r="AA64" s="96"/>
      <c r="AB64" s="96"/>
      <c r="AC64" s="96"/>
      <c r="AH64" s="20">
        <v>45</v>
      </c>
      <c r="AI64" s="117" t="s">
        <v>4107</v>
      </c>
      <c r="AJ64" s="117">
        <v>1300000</v>
      </c>
      <c r="AK64" s="20">
        <v>0</v>
      </c>
      <c r="AL64" s="99">
        <f>AL65+AK64</f>
        <v>294</v>
      </c>
      <c r="AM64" s="113">
        <f t="shared" si="11"/>
        <v>382200000</v>
      </c>
      <c r="AN64" s="20"/>
    </row>
    <row r="65" spans="1:40">
      <c r="K65" s="168" t="s">
        <v>599</v>
      </c>
      <c r="L65" s="113">
        <f>L16+L17+L26</f>
        <v>673077</v>
      </c>
      <c r="M65" s="168"/>
      <c r="N65" s="113">
        <f>N16+N17+N37</f>
        <v>641053</v>
      </c>
      <c r="Q65" s="168">
        <v>0</v>
      </c>
      <c r="R65" s="168" t="s">
        <v>4172</v>
      </c>
      <c r="S65" s="168">
        <f>S93</f>
        <v>275</v>
      </c>
      <c r="T65" s="168"/>
      <c r="U65" s="168"/>
      <c r="V65" s="73"/>
      <c r="W65" s="32"/>
      <c r="X65" s="32"/>
      <c r="Z65" s="96"/>
      <c r="AA65" s="96"/>
      <c r="AB65" s="96"/>
      <c r="AC65" s="96"/>
      <c r="AH65" s="20">
        <v>45</v>
      </c>
      <c r="AI65" s="117" t="s">
        <v>4107</v>
      </c>
      <c r="AJ65" s="117">
        <v>995000</v>
      </c>
      <c r="AK65" s="20">
        <v>2</v>
      </c>
      <c r="AL65" s="99">
        <f t="shared" ref="AL65:AL92" si="17">AL66+AK65</f>
        <v>294</v>
      </c>
      <c r="AM65" s="113">
        <f t="shared" si="11"/>
        <v>292530000</v>
      </c>
      <c r="AN65" s="20"/>
    </row>
    <row r="66" spans="1:40">
      <c r="K66" s="56" t="s">
        <v>716</v>
      </c>
      <c r="L66" s="1">
        <f>L64+N7</f>
        <v>618521084.7750901</v>
      </c>
      <c r="M66" s="113"/>
      <c r="N66" s="168"/>
      <c r="O66" s="115"/>
      <c r="P66" s="115"/>
      <c r="Q66" s="169">
        <v>863944</v>
      </c>
      <c r="R66" s="168" t="s">
        <v>4435</v>
      </c>
      <c r="S66" s="168">
        <f>S65-62</f>
        <v>213</v>
      </c>
      <c r="T66" s="190" t="s">
        <v>4507</v>
      </c>
      <c r="U66" s="168">
        <v>184.6</v>
      </c>
      <c r="V66" s="168">
        <f t="shared" ref="V66:V84" si="18">U66*(1+$R$89+$Q$15*S66/36500)</f>
        <v>217.56905424657535</v>
      </c>
      <c r="W66" s="32">
        <f t="shared" ref="W66:W84" si="19">V66*(1+$W$19/100)</f>
        <v>221.92043533150687</v>
      </c>
      <c r="X66" s="32">
        <f t="shared" ref="X66:X84" si="20">V66*(1+$X$19/100)</f>
        <v>226.27181641643838</v>
      </c>
      <c r="Y66" t="s">
        <v>25</v>
      </c>
      <c r="Z66" s="96"/>
      <c r="AA66" s="96"/>
      <c r="AB66" s="96"/>
      <c r="AC66" s="96"/>
      <c r="AH66" s="20">
        <v>46</v>
      </c>
      <c r="AI66" s="117" t="s">
        <v>4117</v>
      </c>
      <c r="AJ66" s="117">
        <v>13000000</v>
      </c>
      <c r="AK66" s="20">
        <v>2</v>
      </c>
      <c r="AL66" s="99">
        <f t="shared" si="17"/>
        <v>292</v>
      </c>
      <c r="AM66" s="113">
        <f t="shared" si="11"/>
        <v>3796000000</v>
      </c>
      <c r="AN66" s="20"/>
    </row>
    <row r="67" spans="1:40">
      <c r="A67" t="s">
        <v>25</v>
      </c>
      <c r="F67" t="s">
        <v>310</v>
      </c>
      <c r="G67" t="s">
        <v>4099</v>
      </c>
      <c r="O67" s="96"/>
      <c r="P67" s="96"/>
      <c r="Q67" s="169">
        <v>1692313</v>
      </c>
      <c r="R67" s="168" t="s">
        <v>4510</v>
      </c>
      <c r="S67" s="197">
        <f>S66-21</f>
        <v>192</v>
      </c>
      <c r="T67" s="189" t="s">
        <v>4511</v>
      </c>
      <c r="U67" s="168">
        <v>168.5</v>
      </c>
      <c r="V67" s="168">
        <f t="shared" si="18"/>
        <v>195.87917260273974</v>
      </c>
      <c r="W67" s="32">
        <f t="shared" si="19"/>
        <v>199.79675605479454</v>
      </c>
      <c r="X67" s="32">
        <f t="shared" si="20"/>
        <v>203.71433950684934</v>
      </c>
      <c r="Y67" t="s">
        <v>25</v>
      </c>
      <c r="Z67" s="96"/>
      <c r="AA67" s="96"/>
      <c r="AB67" s="96"/>
      <c r="AC67" s="96"/>
      <c r="AH67" s="20">
        <v>47</v>
      </c>
      <c r="AI67" s="117" t="s">
        <v>4130</v>
      </c>
      <c r="AJ67" s="117">
        <v>-3100000</v>
      </c>
      <c r="AK67" s="20">
        <v>3</v>
      </c>
      <c r="AL67" s="99">
        <f t="shared" si="17"/>
        <v>290</v>
      </c>
      <c r="AM67" s="113">
        <f t="shared" si="11"/>
        <v>-899000000</v>
      </c>
      <c r="AN67" s="20"/>
    </row>
    <row r="68" spans="1:40">
      <c r="F68" t="s">
        <v>4103</v>
      </c>
      <c r="G68" t="s">
        <v>4098</v>
      </c>
      <c r="M68" s="25"/>
      <c r="O68" t="s">
        <v>25</v>
      </c>
      <c r="Q68" s="169">
        <v>101153</v>
      </c>
      <c r="R68" s="168" t="s">
        <v>4513</v>
      </c>
      <c r="S68" s="197">
        <f>S67-1</f>
        <v>191</v>
      </c>
      <c r="T68" s="189" t="s">
        <v>4515</v>
      </c>
      <c r="U68" s="168">
        <v>166.7</v>
      </c>
      <c r="V68" s="168">
        <f t="shared" si="18"/>
        <v>193.65881534246574</v>
      </c>
      <c r="W68" s="32">
        <f t="shared" si="19"/>
        <v>197.53199164931507</v>
      </c>
      <c r="X68" s="32">
        <f t="shared" si="20"/>
        <v>201.40516795616438</v>
      </c>
      <c r="Z68" s="96"/>
      <c r="AA68" s="96"/>
      <c r="AB68" s="96"/>
      <c r="AC68" s="96"/>
      <c r="AH68" s="20">
        <v>48</v>
      </c>
      <c r="AI68" s="117" t="s">
        <v>4145</v>
      </c>
      <c r="AJ68" s="117">
        <v>45640000</v>
      </c>
      <c r="AK68" s="20">
        <v>1</v>
      </c>
      <c r="AL68" s="99">
        <f t="shared" si="17"/>
        <v>287</v>
      </c>
      <c r="AM68" s="113">
        <f t="shared" si="11"/>
        <v>13098680000</v>
      </c>
      <c r="AN68" s="20"/>
    </row>
    <row r="69" spans="1:40">
      <c r="F69" t="s">
        <v>4104</v>
      </c>
      <c r="G69" t="s">
        <v>4100</v>
      </c>
      <c r="M69" s="25" t="s">
        <v>4080</v>
      </c>
      <c r="N69" s="99" t="s">
        <v>452</v>
      </c>
      <c r="O69" s="113">
        <f>O52*25</f>
        <v>68170300</v>
      </c>
      <c r="P69" s="115"/>
      <c r="Q69" s="169">
        <v>183105</v>
      </c>
      <c r="R69" s="168" t="s">
        <v>4230</v>
      </c>
      <c r="S69" s="197">
        <f>S68-1</f>
        <v>190</v>
      </c>
      <c r="T69" s="189" t="s">
        <v>4519</v>
      </c>
      <c r="U69" s="168">
        <v>166.6</v>
      </c>
      <c r="V69" s="168">
        <f t="shared" si="18"/>
        <v>193.41484054794523</v>
      </c>
      <c r="W69" s="32">
        <f t="shared" si="19"/>
        <v>197.28313735890413</v>
      </c>
      <c r="X69" s="32">
        <f t="shared" si="20"/>
        <v>201.15143416986305</v>
      </c>
      <c r="Z69" s="96"/>
      <c r="AA69" s="96"/>
      <c r="AB69" s="96"/>
      <c r="AC69" s="96"/>
      <c r="AH69" s="20">
        <v>49</v>
      </c>
      <c r="AI69" s="117" t="s">
        <v>4151</v>
      </c>
      <c r="AJ69" s="117">
        <v>33500000</v>
      </c>
      <c r="AK69" s="20">
        <v>1</v>
      </c>
      <c r="AL69" s="99">
        <f t="shared" si="17"/>
        <v>286</v>
      </c>
      <c r="AM69" s="113">
        <f t="shared" si="11"/>
        <v>9581000000</v>
      </c>
      <c r="AN69" s="20"/>
    </row>
    <row r="70" spans="1:40">
      <c r="G70" t="s">
        <v>4101</v>
      </c>
      <c r="M70" s="177"/>
      <c r="N70" s="99" t="s">
        <v>1087</v>
      </c>
      <c r="O70" s="113">
        <f>O33*25</f>
        <v>7844675</v>
      </c>
      <c r="P70" s="115"/>
      <c r="Q70" s="169">
        <v>168846</v>
      </c>
      <c r="R70" s="168" t="s">
        <v>3691</v>
      </c>
      <c r="S70" s="197">
        <f>S69-30</f>
        <v>160</v>
      </c>
      <c r="T70" s="189" t="s">
        <v>4616</v>
      </c>
      <c r="U70" s="168">
        <v>172.2</v>
      </c>
      <c r="V70" s="168">
        <f t="shared" si="18"/>
        <v>195.9532208219178</v>
      </c>
      <c r="W70" s="32">
        <f t="shared" si="19"/>
        <v>199.87228523835614</v>
      </c>
      <c r="X70" s="32">
        <f t="shared" si="20"/>
        <v>203.79134965479452</v>
      </c>
      <c r="AH70" s="20">
        <v>50</v>
      </c>
      <c r="AI70" s="117" t="s">
        <v>4156</v>
      </c>
      <c r="AJ70" s="117">
        <v>12000000</v>
      </c>
      <c r="AK70" s="20">
        <v>1</v>
      </c>
      <c r="AL70" s="99">
        <f t="shared" si="17"/>
        <v>285</v>
      </c>
      <c r="AM70" s="117">
        <f t="shared" si="11"/>
        <v>3420000000</v>
      </c>
      <c r="AN70" s="20"/>
    </row>
    <row r="71" spans="1:40">
      <c r="G71" t="s">
        <v>4102</v>
      </c>
      <c r="M71" s="96" t="s">
        <v>4808</v>
      </c>
      <c r="N71" s="99" t="s">
        <v>751</v>
      </c>
      <c r="O71" s="113">
        <f>O21*25</f>
        <v>33594350</v>
      </c>
      <c r="Q71" s="169">
        <v>250962</v>
      </c>
      <c r="R71" s="168" t="s">
        <v>4652</v>
      </c>
      <c r="S71" s="197">
        <f>S70-10</f>
        <v>150</v>
      </c>
      <c r="T71" s="189" t="s">
        <v>4653</v>
      </c>
      <c r="U71" s="168">
        <v>5315.5</v>
      </c>
      <c r="V71" s="168">
        <f t="shared" si="18"/>
        <v>6007.9421753424658</v>
      </c>
      <c r="W71" s="32">
        <f t="shared" si="19"/>
        <v>6128.1010188493156</v>
      </c>
      <c r="X71" s="32">
        <f t="shared" si="20"/>
        <v>6248.2598623561644</v>
      </c>
      <c r="AH71" s="20">
        <v>51</v>
      </c>
      <c r="AI71" s="117" t="s">
        <v>4162</v>
      </c>
      <c r="AJ71" s="117">
        <v>15500000</v>
      </c>
      <c r="AK71" s="20">
        <v>4</v>
      </c>
      <c r="AL71" s="99">
        <f t="shared" si="17"/>
        <v>284</v>
      </c>
      <c r="AM71" s="117">
        <f t="shared" si="11"/>
        <v>4402000000</v>
      </c>
      <c r="AN71" s="20"/>
    </row>
    <row r="72" spans="1:40">
      <c r="G72" t="s">
        <v>4106</v>
      </c>
      <c r="M72" s="122" t="s">
        <v>4409</v>
      </c>
      <c r="O72" s="114"/>
      <c r="Q72" s="169">
        <v>5499944</v>
      </c>
      <c r="R72" s="5" t="s">
        <v>4877</v>
      </c>
      <c r="S72" s="197">
        <f>S71-65</f>
        <v>85</v>
      </c>
      <c r="T72" s="189" t="s">
        <v>5085</v>
      </c>
      <c r="U72" s="213">
        <v>6250.1</v>
      </c>
      <c r="V72" s="213">
        <f t="shared" si="18"/>
        <v>6752.642287123288</v>
      </c>
      <c r="W72" s="32">
        <f t="shared" si="19"/>
        <v>6887.6951328657542</v>
      </c>
      <c r="X72" s="32">
        <f t="shared" si="20"/>
        <v>7022.7479786082195</v>
      </c>
      <c r="AH72" s="20">
        <v>52</v>
      </c>
      <c r="AI72" s="117" t="s">
        <v>4166</v>
      </c>
      <c r="AJ72" s="117">
        <v>150000</v>
      </c>
      <c r="AK72" s="20">
        <v>1</v>
      </c>
      <c r="AL72" s="99">
        <f t="shared" si="17"/>
        <v>280</v>
      </c>
      <c r="AM72" s="117">
        <f t="shared" si="11"/>
        <v>42000000</v>
      </c>
      <c r="AN72" s="20"/>
    </row>
    <row r="73" spans="1:40">
      <c r="G73" t="s">
        <v>4105</v>
      </c>
      <c r="M73" s="122" t="s">
        <v>4504</v>
      </c>
      <c r="N73" s="96"/>
      <c r="Q73" s="169">
        <v>19918023</v>
      </c>
      <c r="R73" s="5" t="s">
        <v>4877</v>
      </c>
      <c r="S73" s="197">
        <f>S72</f>
        <v>85</v>
      </c>
      <c r="T73" s="189" t="s">
        <v>4880</v>
      </c>
      <c r="U73" s="213">
        <v>183</v>
      </c>
      <c r="V73" s="213">
        <f t="shared" si="18"/>
        <v>197.71420273972603</v>
      </c>
      <c r="W73" s="32">
        <f t="shared" si="19"/>
        <v>201.66848679452056</v>
      </c>
      <c r="X73" s="32">
        <f t="shared" si="20"/>
        <v>205.62277084931509</v>
      </c>
      <c r="AH73" s="179">
        <v>53</v>
      </c>
      <c r="AI73" s="180" t="s">
        <v>4172</v>
      </c>
      <c r="AJ73" s="180">
        <v>29000000</v>
      </c>
      <c r="AK73" s="179">
        <v>15</v>
      </c>
      <c r="AL73" s="179">
        <f t="shared" si="17"/>
        <v>279</v>
      </c>
      <c r="AM73" s="180">
        <f t="shared" si="11"/>
        <v>8091000000</v>
      </c>
      <c r="AN73" s="179" t="s">
        <v>4185</v>
      </c>
    </row>
    <row r="74" spans="1:40">
      <c r="M74" s="122" t="s">
        <v>4574</v>
      </c>
      <c r="N74" s="96"/>
      <c r="P74" t="s">
        <v>25</v>
      </c>
      <c r="Q74" s="169">
        <v>1200301</v>
      </c>
      <c r="R74" s="19" t="s">
        <v>4971</v>
      </c>
      <c r="S74" s="197">
        <f>S73-34</f>
        <v>51</v>
      </c>
      <c r="T74" s="189" t="s">
        <v>4973</v>
      </c>
      <c r="U74" s="213">
        <v>218.5</v>
      </c>
      <c r="V74" s="213">
        <f t="shared" si="18"/>
        <v>230.36963835616439</v>
      </c>
      <c r="W74" s="32">
        <f t="shared" si="19"/>
        <v>234.97703112328767</v>
      </c>
      <c r="X74" s="32">
        <f t="shared" si="20"/>
        <v>239.58442389041096</v>
      </c>
      <c r="AH74" s="20">
        <v>54</v>
      </c>
      <c r="AI74" s="117" t="s">
        <v>4209</v>
      </c>
      <c r="AJ74" s="117">
        <v>-130000</v>
      </c>
      <c r="AK74" s="20">
        <v>7</v>
      </c>
      <c r="AL74" s="99">
        <f t="shared" si="17"/>
        <v>264</v>
      </c>
      <c r="AM74" s="117">
        <f t="shared" si="11"/>
        <v>-34320000</v>
      </c>
      <c r="AN74" s="20" t="s">
        <v>4211</v>
      </c>
    </row>
    <row r="75" spans="1:40" ht="30">
      <c r="G75" s="48" t="s">
        <v>788</v>
      </c>
      <c r="H75" s="201" t="s">
        <v>476</v>
      </c>
      <c r="K75" s="212" t="s">
        <v>4741</v>
      </c>
      <c r="L75" s="22" t="s">
        <v>4717</v>
      </c>
      <c r="M75" s="206" t="s">
        <v>4696</v>
      </c>
      <c r="N75" s="96"/>
      <c r="P75" s="115"/>
      <c r="Q75" s="169">
        <v>6135206</v>
      </c>
      <c r="R75" s="19" t="s">
        <v>5005</v>
      </c>
      <c r="S75" s="197">
        <f>S74-16</f>
        <v>35</v>
      </c>
      <c r="T75" s="189" t="s">
        <v>5006</v>
      </c>
      <c r="U75" s="213">
        <v>196.2</v>
      </c>
      <c r="V75" s="213">
        <f t="shared" si="18"/>
        <v>204.45007561643837</v>
      </c>
      <c r="W75" s="32">
        <f t="shared" si="19"/>
        <v>208.53907712876713</v>
      </c>
      <c r="X75" s="32">
        <f t="shared" si="20"/>
        <v>212.6280786410959</v>
      </c>
      <c r="AH75" s="20">
        <v>55</v>
      </c>
      <c r="AI75" s="117" t="s">
        <v>4257</v>
      </c>
      <c r="AJ75" s="117">
        <v>232000</v>
      </c>
      <c r="AK75" s="20">
        <v>2</v>
      </c>
      <c r="AL75" s="99">
        <f t="shared" si="17"/>
        <v>257</v>
      </c>
      <c r="AM75" s="117">
        <f>AJ75*AL75</f>
        <v>59624000</v>
      </c>
      <c r="AN75" s="20" t="s">
        <v>4259</v>
      </c>
    </row>
    <row r="76" spans="1:40" ht="21">
      <c r="D76" s="3"/>
      <c r="E76" s="11" t="s">
        <v>304</v>
      </c>
      <c r="G76" s="47">
        <v>700000</v>
      </c>
      <c r="H76" s="201" t="s">
        <v>1039</v>
      </c>
      <c r="K76" t="s">
        <v>4742</v>
      </c>
      <c r="M76" s="260" t="s">
        <v>5081</v>
      </c>
      <c r="N76" s="96"/>
      <c r="P76" s="115" t="s">
        <v>25</v>
      </c>
      <c r="Q76" s="169">
        <v>104578</v>
      </c>
      <c r="R76" s="19" t="s">
        <v>5029</v>
      </c>
      <c r="S76" s="197">
        <f>S75-9</f>
        <v>26</v>
      </c>
      <c r="T76" s="189" t="s">
        <v>5030</v>
      </c>
      <c r="U76" s="213">
        <v>199.8</v>
      </c>
      <c r="V76" s="213">
        <f t="shared" si="18"/>
        <v>206.82201205479456</v>
      </c>
      <c r="W76" s="32">
        <f t="shared" si="19"/>
        <v>210.95845229589045</v>
      </c>
      <c r="X76" s="32">
        <f t="shared" si="20"/>
        <v>215.09489253698635</v>
      </c>
      <c r="Y76" s="122" t="s">
        <v>25</v>
      </c>
      <c r="AH76" s="20">
        <v>56</v>
      </c>
      <c r="AI76" s="117" t="s">
        <v>4268</v>
      </c>
      <c r="AJ76" s="117">
        <v>-170000</v>
      </c>
      <c r="AK76" s="20">
        <v>3</v>
      </c>
      <c r="AL76" s="99">
        <f t="shared" si="17"/>
        <v>255</v>
      </c>
      <c r="AM76" s="117">
        <f t="shared" si="11"/>
        <v>-43350000</v>
      </c>
      <c r="AN76" s="20"/>
    </row>
    <row r="77" spans="1:40">
      <c r="D77" s="1" t="s">
        <v>305</v>
      </c>
      <c r="E77" s="1">
        <v>70000</v>
      </c>
      <c r="G77" s="47">
        <v>500000</v>
      </c>
      <c r="H77" s="201" t="s">
        <v>479</v>
      </c>
      <c r="K77" t="s">
        <v>4577</v>
      </c>
      <c r="L77" s="96"/>
      <c r="M77" s="122"/>
      <c r="O77" t="s">
        <v>25</v>
      </c>
      <c r="P77" s="115"/>
      <c r="Q77" s="169">
        <v>119253</v>
      </c>
      <c r="R77" s="19" t="s">
        <v>5034</v>
      </c>
      <c r="S77" s="197">
        <f>S76-3</f>
        <v>23</v>
      </c>
      <c r="T77" s="189" t="s">
        <v>5036</v>
      </c>
      <c r="U77" s="213">
        <v>199.5</v>
      </c>
      <c r="V77" s="213">
        <f t="shared" si="18"/>
        <v>206.05234520547947</v>
      </c>
      <c r="W77" s="32">
        <f t="shared" si="19"/>
        <v>210.17339210958906</v>
      </c>
      <c r="X77" s="32">
        <f t="shared" si="20"/>
        <v>214.29443901369865</v>
      </c>
      <c r="Y77" t="s">
        <v>25</v>
      </c>
      <c r="AA77" t="s">
        <v>25</v>
      </c>
      <c r="AH77" s="20">
        <v>57</v>
      </c>
      <c r="AI77" s="117" t="s">
        <v>4282</v>
      </c>
      <c r="AJ77" s="117">
        <v>-300000</v>
      </c>
      <c r="AK77" s="20">
        <v>3</v>
      </c>
      <c r="AL77" s="99">
        <f t="shared" si="17"/>
        <v>252</v>
      </c>
      <c r="AM77" s="117">
        <f t="shared" si="11"/>
        <v>-75600000</v>
      </c>
      <c r="AN77" s="20"/>
    </row>
    <row r="78" spans="1:40">
      <c r="D78" s="1" t="s">
        <v>321</v>
      </c>
      <c r="E78" s="1">
        <v>100000</v>
      </c>
      <c r="G78" s="47">
        <v>180000</v>
      </c>
      <c r="H78" s="201" t="s">
        <v>558</v>
      </c>
      <c r="K78" t="s">
        <v>4809</v>
      </c>
      <c r="M78" s="96">
        <f>O52+O21+O33-O58</f>
        <v>4384373</v>
      </c>
      <c r="N78" s="113">
        <f>M78*P52</f>
        <v>1004459854.3</v>
      </c>
      <c r="P78" s="115"/>
      <c r="Q78" s="169">
        <v>30004376</v>
      </c>
      <c r="R78" s="19" t="s">
        <v>5056</v>
      </c>
      <c r="S78" s="197">
        <f>S77-9</f>
        <v>14</v>
      </c>
      <c r="T78" s="189" t="s">
        <v>5057</v>
      </c>
      <c r="U78" s="213">
        <v>200</v>
      </c>
      <c r="V78" s="213">
        <f t="shared" si="18"/>
        <v>205.18794520547948</v>
      </c>
      <c r="W78" s="32">
        <f t="shared" si="19"/>
        <v>209.29170410958906</v>
      </c>
      <c r="X78" s="32">
        <f t="shared" si="20"/>
        <v>213.39546301369867</v>
      </c>
      <c r="AD78" s="115"/>
      <c r="AE78" s="115"/>
      <c r="AH78" s="20">
        <v>58</v>
      </c>
      <c r="AI78" s="117" t="s">
        <v>4291</v>
      </c>
      <c r="AJ78" s="117">
        <v>-11400000</v>
      </c>
      <c r="AK78" s="20">
        <v>13</v>
      </c>
      <c r="AL78" s="99">
        <f t="shared" ref="AL78:AL83" si="21">AL79+AK78</f>
        <v>249</v>
      </c>
      <c r="AM78" s="117">
        <f t="shared" si="11"/>
        <v>-2838600000</v>
      </c>
      <c r="AN78" s="20"/>
    </row>
    <row r="79" spans="1:40">
      <c r="D79" s="1" t="s">
        <v>306</v>
      </c>
      <c r="E79" s="1">
        <v>80000</v>
      </c>
      <c r="G79" s="47">
        <v>0</v>
      </c>
      <c r="H79" s="201" t="s">
        <v>784</v>
      </c>
      <c r="K79" t="s">
        <v>4810</v>
      </c>
      <c r="M79" t="s">
        <v>4266</v>
      </c>
      <c r="P79" s="115"/>
      <c r="Q79" s="169">
        <v>119980</v>
      </c>
      <c r="R79" s="19" t="s">
        <v>5087</v>
      </c>
      <c r="S79" s="197">
        <f>S78-8</f>
        <v>6</v>
      </c>
      <c r="T79" s="189" t="s">
        <v>5090</v>
      </c>
      <c r="U79" s="213">
        <v>211</v>
      </c>
      <c r="V79" s="213">
        <f t="shared" si="18"/>
        <v>215.17837808219178</v>
      </c>
      <c r="W79" s="32">
        <f t="shared" si="19"/>
        <v>219.48194564383562</v>
      </c>
      <c r="X79" s="32">
        <f t="shared" si="20"/>
        <v>223.78551320547948</v>
      </c>
      <c r="AC79" s="115"/>
      <c r="AD79" s="115"/>
      <c r="AE79" s="115"/>
      <c r="AF79"/>
      <c r="AH79" s="20">
        <v>59</v>
      </c>
      <c r="AI79" s="117" t="s">
        <v>4346</v>
      </c>
      <c r="AJ79" s="117">
        <v>-10000000</v>
      </c>
      <c r="AK79" s="20">
        <v>1</v>
      </c>
      <c r="AL79" s="99">
        <f t="shared" si="21"/>
        <v>236</v>
      </c>
      <c r="AM79" s="117">
        <f>AJ79*AL79</f>
        <v>-2360000000</v>
      </c>
      <c r="AN79" s="20"/>
    </row>
    <row r="80" spans="1:40">
      <c r="D80" s="31" t="s">
        <v>307</v>
      </c>
      <c r="E80" s="1">
        <v>150000</v>
      </c>
      <c r="G80" s="47">
        <v>0</v>
      </c>
      <c r="H80" s="201" t="s">
        <v>785</v>
      </c>
      <c r="J80" t="s">
        <v>25</v>
      </c>
      <c r="K80" t="s">
        <v>4811</v>
      </c>
      <c r="M80" t="s">
        <v>4579</v>
      </c>
      <c r="N80" t="s">
        <v>25</v>
      </c>
      <c r="P80" s="115"/>
      <c r="Q80" s="169">
        <v>155246</v>
      </c>
      <c r="R80" s="19" t="s">
        <v>5101</v>
      </c>
      <c r="S80" s="197">
        <f>S79-5</f>
        <v>1</v>
      </c>
      <c r="T80" s="189" t="s">
        <v>5107</v>
      </c>
      <c r="U80" s="213">
        <v>510</v>
      </c>
      <c r="V80" s="213">
        <f t="shared" si="18"/>
        <v>518.14323287671232</v>
      </c>
      <c r="W80" s="32">
        <f t="shared" si="19"/>
        <v>528.50609753424658</v>
      </c>
      <c r="X80" s="32">
        <f t="shared" si="20"/>
        <v>538.86896219178084</v>
      </c>
      <c r="AC80" s="115"/>
      <c r="AD80" s="115"/>
      <c r="AE80" s="115"/>
      <c r="AF80"/>
      <c r="AH80" s="20">
        <v>60</v>
      </c>
      <c r="AI80" s="117" t="s">
        <v>4347</v>
      </c>
      <c r="AJ80" s="117">
        <v>-2450000</v>
      </c>
      <c r="AK80" s="20">
        <v>5</v>
      </c>
      <c r="AL80" s="99">
        <f t="shared" si="21"/>
        <v>235</v>
      </c>
      <c r="AM80" s="117">
        <f>AJ80*AL80</f>
        <v>-575750000</v>
      </c>
      <c r="AN80" s="20"/>
    </row>
    <row r="81" spans="4:52" ht="26.25">
      <c r="D81" s="31" t="s">
        <v>308</v>
      </c>
      <c r="E81" s="1">
        <v>300000</v>
      </c>
      <c r="G81" s="47">
        <v>500000</v>
      </c>
      <c r="H81" s="48" t="s">
        <v>786</v>
      </c>
      <c r="K81" t="s">
        <v>4537</v>
      </c>
      <c r="M81" s="257"/>
      <c r="P81" s="115"/>
      <c r="Q81" s="169">
        <v>106716</v>
      </c>
      <c r="R81" s="19" t="s">
        <v>5109</v>
      </c>
      <c r="S81" s="197">
        <f>S80-1</f>
        <v>0</v>
      </c>
      <c r="T81" s="189" t="s">
        <v>5111</v>
      </c>
      <c r="U81" s="213">
        <v>213.3</v>
      </c>
      <c r="V81" s="213">
        <f t="shared" si="18"/>
        <v>216.54216000000002</v>
      </c>
      <c r="W81" s="32">
        <f t="shared" si="19"/>
        <v>220.87300320000003</v>
      </c>
      <c r="X81" s="32">
        <f t="shared" si="20"/>
        <v>225.20384640000003</v>
      </c>
      <c r="AD81" s="115"/>
      <c r="AE81" s="115"/>
      <c r="AF81" s="115"/>
      <c r="AH81" s="20">
        <v>61</v>
      </c>
      <c r="AI81" s="117" t="s">
        <v>4371</v>
      </c>
      <c r="AJ81" s="117">
        <v>-456081</v>
      </c>
      <c r="AK81" s="20">
        <v>1</v>
      </c>
      <c r="AL81" s="99">
        <f t="shared" si="21"/>
        <v>230</v>
      </c>
      <c r="AM81" s="117">
        <f t="shared" si="11"/>
        <v>-104898630</v>
      </c>
      <c r="AN81" s="20"/>
    </row>
    <row r="82" spans="4:52">
      <c r="D82" s="31" t="s">
        <v>309</v>
      </c>
      <c r="E82" s="1">
        <v>100000</v>
      </c>
      <c r="G82" s="47">
        <v>75000</v>
      </c>
      <c r="H82" s="48" t="s">
        <v>787</v>
      </c>
      <c r="K82" t="s">
        <v>4581</v>
      </c>
      <c r="M82" t="s">
        <v>5049</v>
      </c>
      <c r="P82" s="115"/>
      <c r="Q82" s="169">
        <v>1324444</v>
      </c>
      <c r="R82" s="19" t="s">
        <v>5109</v>
      </c>
      <c r="S82" s="197">
        <f>S81</f>
        <v>0</v>
      </c>
      <c r="T82" s="189" t="s">
        <v>5113</v>
      </c>
      <c r="U82" s="213">
        <v>821.9</v>
      </c>
      <c r="V82" s="213">
        <f t="shared" si="18"/>
        <v>834.3928800000001</v>
      </c>
      <c r="W82" s="32">
        <f t="shared" si="19"/>
        <v>851.08073760000013</v>
      </c>
      <c r="X82" s="32">
        <f t="shared" si="20"/>
        <v>867.76859520000016</v>
      </c>
      <c r="Y82" s="96" t="s">
        <v>25</v>
      </c>
      <c r="Z82" s="115"/>
      <c r="AA82" s="115"/>
      <c r="AB82" s="115"/>
      <c r="AC82" s="115"/>
      <c r="AD82" s="115"/>
      <c r="AE82" s="115"/>
      <c r="AF82" s="115"/>
      <c r="AH82" s="20">
        <v>62</v>
      </c>
      <c r="AI82" s="117" t="s">
        <v>4373</v>
      </c>
      <c r="AJ82" s="117">
        <v>-500000</v>
      </c>
      <c r="AK82" s="20">
        <v>2</v>
      </c>
      <c r="AL82" s="99">
        <f t="shared" si="21"/>
        <v>229</v>
      </c>
      <c r="AM82" s="117">
        <f t="shared" si="11"/>
        <v>-114500000</v>
      </c>
      <c r="AN82" s="20"/>
      <c r="AO82" t="s">
        <v>25</v>
      </c>
      <c r="AU82"/>
      <c r="AW82" t="s">
        <v>25</v>
      </c>
    </row>
    <row r="83" spans="4:52">
      <c r="D83" s="31" t="s">
        <v>310</v>
      </c>
      <c r="E83" s="1">
        <v>200000</v>
      </c>
      <c r="G83" s="47">
        <v>0</v>
      </c>
      <c r="H83" s="48" t="s">
        <v>789</v>
      </c>
      <c r="K83" t="s">
        <v>4536</v>
      </c>
      <c r="M83" s="263" t="s">
        <v>5093</v>
      </c>
      <c r="P83" s="115"/>
      <c r="Q83" s="169">
        <v>29111</v>
      </c>
      <c r="R83" s="19" t="s">
        <v>5140</v>
      </c>
      <c r="S83" s="197">
        <f>S82-9</f>
        <v>-9</v>
      </c>
      <c r="T83" s="189" t="s">
        <v>5145</v>
      </c>
      <c r="U83" s="213">
        <v>315</v>
      </c>
      <c r="V83" s="213">
        <f t="shared" si="18"/>
        <v>317.61320547945206</v>
      </c>
      <c r="W83" s="32">
        <f t="shared" si="19"/>
        <v>323.96546958904111</v>
      </c>
      <c r="X83" s="32">
        <f t="shared" si="20"/>
        <v>330.31773369863015</v>
      </c>
      <c r="Y83" s="96"/>
      <c r="Z83" s="115"/>
      <c r="AA83" s="115"/>
      <c r="AB83" s="115"/>
      <c r="AC83" s="128"/>
      <c r="AD83" s="115"/>
      <c r="AE83" s="115"/>
      <c r="AF83" s="115"/>
      <c r="AH83" s="20">
        <v>63</v>
      </c>
      <c r="AI83" s="117" t="s">
        <v>4391</v>
      </c>
      <c r="AJ83" s="117">
        <v>-6234370</v>
      </c>
      <c r="AK83" s="20">
        <v>3</v>
      </c>
      <c r="AL83" s="99">
        <f t="shared" si="21"/>
        <v>227</v>
      </c>
      <c r="AM83" s="117">
        <f t="shared" si="11"/>
        <v>-1415201990</v>
      </c>
      <c r="AN83" s="20"/>
      <c r="AU83"/>
    </row>
    <row r="84" spans="4:52">
      <c r="D84" s="18" t="s">
        <v>311</v>
      </c>
      <c r="E84" s="18">
        <v>300000</v>
      </c>
      <c r="G84" s="47">
        <v>500000</v>
      </c>
      <c r="H84" s="48" t="s">
        <v>564</v>
      </c>
      <c r="J84">
        <v>0</v>
      </c>
      <c r="K84" s="22" t="s">
        <v>4242</v>
      </c>
      <c r="M84" s="263" t="s">
        <v>5094</v>
      </c>
      <c r="O84" t="s">
        <v>25</v>
      </c>
      <c r="P84" t="s">
        <v>25</v>
      </c>
      <c r="Q84" s="169"/>
      <c r="R84" s="168"/>
      <c r="S84" s="113"/>
      <c r="T84" s="113"/>
      <c r="U84" s="168"/>
      <c r="V84" s="168">
        <f t="shared" si="18"/>
        <v>0</v>
      </c>
      <c r="W84" s="32">
        <f t="shared" si="19"/>
        <v>0</v>
      </c>
      <c r="X84" s="32">
        <f t="shared" si="20"/>
        <v>0</v>
      </c>
      <c r="Y84" s="96"/>
      <c r="Z84" s="115"/>
      <c r="AA84" s="115"/>
      <c r="AB84" s="115"/>
      <c r="AC84" s="128"/>
      <c r="AD84" s="115"/>
      <c r="AE84" s="115"/>
      <c r="AF84" s="115"/>
      <c r="AH84" s="20">
        <v>64</v>
      </c>
      <c r="AI84" s="117" t="s">
        <v>4402</v>
      </c>
      <c r="AJ84" s="117">
        <v>1950957</v>
      </c>
      <c r="AK84" s="20">
        <v>4</v>
      </c>
      <c r="AL84" s="99">
        <f t="shared" si="17"/>
        <v>224</v>
      </c>
      <c r="AM84" s="117">
        <f t="shared" si="11"/>
        <v>437014368</v>
      </c>
      <c r="AN84" s="20"/>
      <c r="AZ84" t="s">
        <v>25</v>
      </c>
    </row>
    <row r="85" spans="4:52">
      <c r="D85" s="32" t="s">
        <v>312</v>
      </c>
      <c r="E85" s="1">
        <v>200000</v>
      </c>
      <c r="G85" s="47">
        <v>50000</v>
      </c>
      <c r="H85" s="48" t="s">
        <v>792</v>
      </c>
      <c r="K85" t="s">
        <v>4533</v>
      </c>
      <c r="Q85" s="113">
        <f>SUM(N29:N33)-SUM(Q65:Q84)</f>
        <v>10169622.200000003</v>
      </c>
      <c r="R85" s="168"/>
      <c r="S85" s="168"/>
      <c r="T85" s="168"/>
      <c r="U85" s="168"/>
      <c r="V85" s="168"/>
      <c r="W85" s="32"/>
      <c r="X85" s="32"/>
      <c r="Y85" s="96" t="s">
        <v>25</v>
      </c>
      <c r="Z85" s="115"/>
      <c r="AA85" s="115"/>
      <c r="AB85" s="115"/>
      <c r="AC85" s="128"/>
      <c r="AD85" s="115"/>
      <c r="AE85" s="115"/>
      <c r="AF85" s="115"/>
      <c r="AH85" s="20">
        <v>65</v>
      </c>
      <c r="AI85" s="117" t="s">
        <v>4427</v>
      </c>
      <c r="AJ85" s="117">
        <v>600000</v>
      </c>
      <c r="AK85" s="20">
        <v>5</v>
      </c>
      <c r="AL85" s="99">
        <f t="shared" si="17"/>
        <v>220</v>
      </c>
      <c r="AM85" s="117">
        <f t="shared" si="11"/>
        <v>132000000</v>
      </c>
      <c r="AN85" s="20"/>
    </row>
    <row r="86" spans="4:52">
      <c r="D86" s="32" t="s">
        <v>313</v>
      </c>
      <c r="E86" s="1">
        <v>20000</v>
      </c>
      <c r="G86" s="47">
        <v>140000</v>
      </c>
      <c r="H86" s="48" t="s">
        <v>314</v>
      </c>
      <c r="K86" t="s">
        <v>4295</v>
      </c>
      <c r="R86" s="115"/>
      <c r="S86" s="115"/>
      <c r="T86" s="115" t="s">
        <v>25</v>
      </c>
      <c r="U86" s="115"/>
      <c r="V86" s="115" t="s">
        <v>25</v>
      </c>
      <c r="W86" s="194" t="s">
        <v>25</v>
      </c>
      <c r="X86" s="194"/>
      <c r="Y86" s="96"/>
      <c r="Z86" s="115"/>
      <c r="AA86" s="115"/>
      <c r="AB86" s="115"/>
      <c r="AC86" s="128"/>
      <c r="AD86" s="115"/>
      <c r="AE86" s="115"/>
      <c r="AF86" s="115"/>
      <c r="AH86" s="20">
        <v>66</v>
      </c>
      <c r="AI86" s="117" t="s">
        <v>4437</v>
      </c>
      <c r="AJ86" s="117">
        <v>7500000</v>
      </c>
      <c r="AK86" s="20">
        <v>2</v>
      </c>
      <c r="AL86" s="99">
        <f t="shared" si="17"/>
        <v>215</v>
      </c>
      <c r="AM86" s="117">
        <f t="shared" si="11"/>
        <v>1612500000</v>
      </c>
      <c r="AN86" s="20"/>
      <c r="AS86" s="96"/>
    </row>
    <row r="87" spans="4:52">
      <c r="D87" s="32" t="s">
        <v>315</v>
      </c>
      <c r="E87" s="1">
        <v>50000</v>
      </c>
      <c r="G87" s="47"/>
      <c r="H87" s="48" t="s">
        <v>25</v>
      </c>
      <c r="J87">
        <v>0</v>
      </c>
      <c r="K87" t="s">
        <v>25</v>
      </c>
      <c r="Q87" s="99" t="s">
        <v>949</v>
      </c>
      <c r="R87" s="99">
        <v>1.03E-2</v>
      </c>
      <c r="S87" s="26" t="s">
        <v>25</v>
      </c>
      <c r="T87" t="s">
        <v>25</v>
      </c>
      <c r="U87" s="96" t="s">
        <v>25</v>
      </c>
      <c r="V87" s="115" t="s">
        <v>25</v>
      </c>
      <c r="W87" s="194" t="s">
        <v>25</v>
      </c>
      <c r="X87" s="194"/>
      <c r="Y87" s="96"/>
      <c r="Z87" s="115"/>
      <c r="AA87" s="115"/>
      <c r="AB87" s="115"/>
      <c r="AC87" s="128"/>
      <c r="AD87" s="115"/>
      <c r="AE87" s="115"/>
      <c r="AF87" s="115"/>
      <c r="AH87" s="20">
        <v>67</v>
      </c>
      <c r="AI87" s="117" t="s">
        <v>4442</v>
      </c>
      <c r="AJ87" s="117">
        <v>-587816</v>
      </c>
      <c r="AK87" s="20">
        <v>3</v>
      </c>
      <c r="AL87" s="99">
        <f t="shared" si="17"/>
        <v>213</v>
      </c>
      <c r="AM87" s="117">
        <f t="shared" si="11"/>
        <v>-125204808</v>
      </c>
      <c r="AN87" s="20"/>
      <c r="AS87" s="96"/>
    </row>
    <row r="88" spans="4:52">
      <c r="D88" s="32" t="s">
        <v>316</v>
      </c>
      <c r="E88" s="1">
        <v>90000</v>
      </c>
      <c r="G88" s="47">
        <f>SUM(G76:G87)</f>
        <v>2645000</v>
      </c>
      <c r="H88" s="48" t="s">
        <v>6</v>
      </c>
      <c r="K88" s="96"/>
      <c r="M88" s="193" t="s">
        <v>4532</v>
      </c>
      <c r="Q88" s="99" t="s">
        <v>61</v>
      </c>
      <c r="R88" s="99">
        <v>4.8999999999999998E-3</v>
      </c>
      <c r="T88" t="s">
        <v>25</v>
      </c>
      <c r="V88" t="s">
        <v>25</v>
      </c>
      <c r="W88" s="194" t="s">
        <v>25</v>
      </c>
      <c r="X88" s="194"/>
      <c r="Z88" s="115"/>
      <c r="AA88" s="115"/>
      <c r="AB88" s="115"/>
      <c r="AC88" s="128"/>
      <c r="AD88" s="115"/>
      <c r="AE88" s="115"/>
      <c r="AF88" s="115"/>
      <c r="AH88" s="20">
        <v>68</v>
      </c>
      <c r="AI88" s="117" t="s">
        <v>4441</v>
      </c>
      <c r="AJ88" s="117">
        <v>-907489</v>
      </c>
      <c r="AK88" s="20">
        <v>0</v>
      </c>
      <c r="AL88" s="99">
        <f>AL89+AK88</f>
        <v>210</v>
      </c>
      <c r="AM88" s="117">
        <f t="shared" si="11"/>
        <v>-190572690</v>
      </c>
      <c r="AN88" s="20"/>
      <c r="AP88" t="s">
        <v>25</v>
      </c>
      <c r="AV88" t="s">
        <v>25</v>
      </c>
    </row>
    <row r="89" spans="4:52">
      <c r="D89" s="32" t="s">
        <v>317</v>
      </c>
      <c r="E89" s="1">
        <v>50000</v>
      </c>
      <c r="K89" s="96"/>
      <c r="M89" t="s">
        <v>4533</v>
      </c>
      <c r="Q89" s="99" t="s">
        <v>6</v>
      </c>
      <c r="R89" s="99">
        <f>R87+R88</f>
        <v>1.52E-2</v>
      </c>
      <c r="T89" t="s">
        <v>25</v>
      </c>
      <c r="U89" s="96" t="s">
        <v>25</v>
      </c>
      <c r="V89" t="s">
        <v>25</v>
      </c>
      <c r="W89" s="194"/>
      <c r="X89" s="194"/>
      <c r="Z89" s="115"/>
      <c r="AA89" s="115"/>
      <c r="AB89" s="115"/>
      <c r="AC89" s="115"/>
      <c r="AD89" s="115"/>
      <c r="AE89" s="115"/>
      <c r="AF89" s="115"/>
      <c r="AG89" s="115"/>
      <c r="AH89" s="20">
        <v>69</v>
      </c>
      <c r="AI89" s="117" t="s">
        <v>4441</v>
      </c>
      <c r="AJ89" s="117">
        <v>2450000</v>
      </c>
      <c r="AK89" s="20">
        <v>1</v>
      </c>
      <c r="AL89" s="99">
        <f t="shared" si="17"/>
        <v>210</v>
      </c>
      <c r="AM89" s="117">
        <f t="shared" si="11"/>
        <v>514500000</v>
      </c>
      <c r="AN89" s="20" t="s">
        <v>4480</v>
      </c>
      <c r="AQ89" t="s">
        <v>25</v>
      </c>
      <c r="AR89" t="s">
        <v>25</v>
      </c>
    </row>
    <row r="90" spans="4:52">
      <c r="D90" s="32" t="s">
        <v>327</v>
      </c>
      <c r="E90" s="1">
        <v>150000</v>
      </c>
      <c r="J90">
        <v>395</v>
      </c>
      <c r="K90" s="96"/>
      <c r="M90" t="s">
        <v>4536</v>
      </c>
      <c r="W90" s="194"/>
      <c r="X90" s="194"/>
      <c r="Z90" s="115"/>
      <c r="AA90" s="115"/>
      <c r="AB90" s="115"/>
      <c r="AC90" s="115"/>
      <c r="AD90" s="115"/>
      <c r="AE90"/>
      <c r="AG90" s="115"/>
      <c r="AH90" s="20">
        <v>70</v>
      </c>
      <c r="AI90" s="117" t="s">
        <v>4482</v>
      </c>
      <c r="AJ90" s="117">
        <v>1500000</v>
      </c>
      <c r="AK90" s="20">
        <v>1</v>
      </c>
      <c r="AL90" s="99">
        <f t="shared" si="17"/>
        <v>209</v>
      </c>
      <c r="AM90" s="117">
        <f t="shared" si="11"/>
        <v>313500000</v>
      </c>
      <c r="AN90" s="20"/>
      <c r="AP90" t="s">
        <v>25</v>
      </c>
      <c r="AU90" s="96" t="s">
        <v>25</v>
      </c>
    </row>
    <row r="91" spans="4:52" ht="30">
      <c r="D91" s="32" t="s">
        <v>318</v>
      </c>
      <c r="E91" s="1">
        <v>15000</v>
      </c>
      <c r="K91" s="96"/>
      <c r="M91" t="s">
        <v>4537</v>
      </c>
      <c r="Q91" s="73" t="s">
        <v>4294</v>
      </c>
      <c r="R91" s="112"/>
      <c r="S91" s="112"/>
      <c r="T91" s="112"/>
      <c r="U91" s="168" t="s">
        <v>4362</v>
      </c>
      <c r="V91" s="36" t="s">
        <v>4364</v>
      </c>
      <c r="W91" s="32"/>
      <c r="X91" s="32"/>
      <c r="Z91" s="115"/>
      <c r="AA91" s="115"/>
      <c r="AE91"/>
      <c r="AG91" s="96"/>
      <c r="AH91" s="20">
        <v>71</v>
      </c>
      <c r="AI91" s="117" t="s">
        <v>4488</v>
      </c>
      <c r="AJ91" s="117">
        <v>2648000</v>
      </c>
      <c r="AK91" s="20">
        <v>1</v>
      </c>
      <c r="AL91" s="99">
        <f t="shared" si="17"/>
        <v>208</v>
      </c>
      <c r="AM91" s="117">
        <f t="shared" si="11"/>
        <v>550784000</v>
      </c>
      <c r="AN91" s="20" t="s">
        <v>4489</v>
      </c>
      <c r="AU91" s="96" t="s">
        <v>25</v>
      </c>
    </row>
    <row r="92" spans="4:52">
      <c r="D92" s="32" t="s">
        <v>319</v>
      </c>
      <c r="E92" s="1">
        <v>20000</v>
      </c>
      <c r="F92" s="96"/>
      <c r="G92" s="96"/>
      <c r="H92" s="96"/>
      <c r="I92" s="96"/>
      <c r="J92" s="96"/>
      <c r="K92" s="96"/>
      <c r="L92" s="96"/>
      <c r="M92" s="96"/>
      <c r="N92" s="96"/>
      <c r="Q92" s="112" t="s">
        <v>267</v>
      </c>
      <c r="R92" s="112" t="s">
        <v>180</v>
      </c>
      <c r="S92" s="112" t="s">
        <v>183</v>
      </c>
      <c r="T92" s="112" t="s">
        <v>8</v>
      </c>
      <c r="U92" s="168"/>
      <c r="V92" s="99"/>
      <c r="W92" s="32">
        <v>2</v>
      </c>
      <c r="X92" s="32">
        <v>4</v>
      </c>
      <c r="Z92" s="115"/>
      <c r="AA92" s="115"/>
      <c r="AE92"/>
      <c r="AG92" s="96"/>
      <c r="AH92" s="20">
        <v>72</v>
      </c>
      <c r="AI92" s="117" t="s">
        <v>4231</v>
      </c>
      <c r="AJ92" s="117">
        <v>615000</v>
      </c>
      <c r="AK92" s="20">
        <v>4</v>
      </c>
      <c r="AL92" s="99">
        <f t="shared" si="17"/>
        <v>207</v>
      </c>
      <c r="AM92" s="117">
        <f t="shared" si="11"/>
        <v>127305000</v>
      </c>
      <c r="AN92" s="20"/>
      <c r="AV92" t="s">
        <v>25</v>
      </c>
    </row>
    <row r="93" spans="4:52">
      <c r="D93" s="32" t="s">
        <v>320</v>
      </c>
      <c r="E93" s="1">
        <v>40000</v>
      </c>
      <c r="F93" s="96"/>
      <c r="G93" s="96"/>
      <c r="H93" s="96"/>
      <c r="I93" s="96"/>
      <c r="J93" s="96"/>
      <c r="K93" s="96"/>
      <c r="L93" s="96"/>
      <c r="M93" s="96"/>
      <c r="N93" s="96"/>
      <c r="Q93" s="35">
        <v>184971545</v>
      </c>
      <c r="R93" s="5" t="s">
        <v>4172</v>
      </c>
      <c r="S93" s="5">
        <v>275</v>
      </c>
      <c r="T93" s="5" t="s">
        <v>4345</v>
      </c>
      <c r="U93" s="168">
        <v>192</v>
      </c>
      <c r="V93" s="99">
        <f t="shared" ref="V93:V124" si="22">U93*(1+$R$89+$Q$15*S93/36500)</f>
        <v>235.42250958904111</v>
      </c>
      <c r="W93" s="32">
        <f t="shared" ref="W93:W110" si="23">V93*(1+$W$19/100)</f>
        <v>240.13095978082194</v>
      </c>
      <c r="X93" s="32">
        <f t="shared" ref="X93:X110" si="24">V93*(1+$X$19/100)</f>
        <v>244.83940997260277</v>
      </c>
      <c r="Z93" s="115"/>
      <c r="AA93" s="115"/>
      <c r="AE93"/>
      <c r="AG93" s="96"/>
      <c r="AH93" s="20">
        <v>73</v>
      </c>
      <c r="AI93" s="117" t="s">
        <v>4499</v>
      </c>
      <c r="AJ93" s="117">
        <v>14000000</v>
      </c>
      <c r="AK93" s="20">
        <v>2</v>
      </c>
      <c r="AL93" s="99">
        <f>AL94+AK93</f>
        <v>203</v>
      </c>
      <c r="AM93" s="117">
        <f t="shared" si="11"/>
        <v>2842000000</v>
      </c>
      <c r="AN93" s="20"/>
    </row>
    <row r="94" spans="4:52">
      <c r="D94" s="32" t="s">
        <v>322</v>
      </c>
      <c r="E94" s="1">
        <v>150000</v>
      </c>
      <c r="F94" s="96"/>
      <c r="G94" s="96"/>
      <c r="H94" s="96"/>
      <c r="I94" s="96"/>
      <c r="J94" s="96"/>
      <c r="K94" s="96"/>
      <c r="Q94" s="35">
        <v>9560464</v>
      </c>
      <c r="R94" s="5" t="s">
        <v>4298</v>
      </c>
      <c r="S94" s="5">
        <f>S93-31</f>
        <v>244</v>
      </c>
      <c r="T94" s="5" t="s">
        <v>4311</v>
      </c>
      <c r="U94" s="168">
        <v>214.57</v>
      </c>
      <c r="V94" s="99">
        <f t="shared" si="22"/>
        <v>257.9942650958904</v>
      </c>
      <c r="W94" s="32">
        <f t="shared" si="23"/>
        <v>263.15415039780822</v>
      </c>
      <c r="X94" s="32">
        <f t="shared" si="24"/>
        <v>268.31403569972605</v>
      </c>
      <c r="Y94">
        <v>961521</v>
      </c>
      <c r="AH94" s="20">
        <v>74</v>
      </c>
      <c r="AI94" s="117" t="s">
        <v>4503</v>
      </c>
      <c r="AJ94" s="117">
        <v>1313000</v>
      </c>
      <c r="AK94" s="20">
        <v>0</v>
      </c>
      <c r="AL94" s="99">
        <f>AL95+AK94</f>
        <v>201</v>
      </c>
      <c r="AM94" s="117">
        <f t="shared" si="11"/>
        <v>263913000</v>
      </c>
      <c r="AN94" s="20"/>
      <c r="AQ94" t="s">
        <v>25</v>
      </c>
    </row>
    <row r="95" spans="4:52">
      <c r="D95" s="32" t="s">
        <v>324</v>
      </c>
      <c r="E95" s="1">
        <v>75000</v>
      </c>
      <c r="F95" s="96"/>
      <c r="G95" s="96"/>
      <c r="H95" s="96"/>
      <c r="I95" s="96"/>
      <c r="J95" s="96"/>
      <c r="K95" s="96"/>
      <c r="Q95" s="35">
        <v>2000000</v>
      </c>
      <c r="R95" s="5" t="s">
        <v>4341</v>
      </c>
      <c r="S95" s="5">
        <f>S94-11</f>
        <v>233</v>
      </c>
      <c r="T95" s="5" t="s">
        <v>4344</v>
      </c>
      <c r="U95" s="168">
        <v>206.8</v>
      </c>
      <c r="V95" s="99">
        <f t="shared" si="22"/>
        <v>246.90673534246579</v>
      </c>
      <c r="W95" s="32">
        <f t="shared" si="23"/>
        <v>251.84487004931512</v>
      </c>
      <c r="X95" s="32">
        <f t="shared" si="24"/>
        <v>256.78300475616442</v>
      </c>
      <c r="Y95">
        <v>44349</v>
      </c>
      <c r="AH95" s="99">
        <v>75</v>
      </c>
      <c r="AI95" s="113" t="s">
        <v>4503</v>
      </c>
      <c r="AJ95" s="113">
        <v>2269000</v>
      </c>
      <c r="AK95" s="99">
        <v>1</v>
      </c>
      <c r="AL95" s="99">
        <f t="shared" ref="AL95:AL120" si="25">AL96+AK95</f>
        <v>201</v>
      </c>
      <c r="AM95" s="117">
        <f t="shared" si="11"/>
        <v>456069000</v>
      </c>
      <c r="AN95" s="99"/>
    </row>
    <row r="96" spans="4:52">
      <c r="D96" s="32" t="s">
        <v>314</v>
      </c>
      <c r="E96" s="1">
        <v>140000</v>
      </c>
      <c r="F96" s="96"/>
      <c r="G96" s="96"/>
      <c r="H96" s="96"/>
      <c r="I96" s="96"/>
      <c r="J96" s="96"/>
      <c r="K96" s="96"/>
      <c r="P96" s="115"/>
      <c r="Q96" s="35">
        <v>1429825</v>
      </c>
      <c r="R96" s="5" t="s">
        <v>4371</v>
      </c>
      <c r="S96" s="5">
        <f>S95-7</f>
        <v>226</v>
      </c>
      <c r="T96" s="5" t="s">
        <v>4380</v>
      </c>
      <c r="U96" s="168">
        <v>203.9</v>
      </c>
      <c r="V96" s="99">
        <f t="shared" si="22"/>
        <v>242.34939506849318</v>
      </c>
      <c r="W96" s="32">
        <f t="shared" si="23"/>
        <v>247.19638296986304</v>
      </c>
      <c r="X96" s="32">
        <f t="shared" si="24"/>
        <v>252.04337087123292</v>
      </c>
      <c r="Y96">
        <v>9625</v>
      </c>
      <c r="AH96" s="99">
        <v>76</v>
      </c>
      <c r="AI96" s="113" t="s">
        <v>4232</v>
      </c>
      <c r="AJ96" s="113">
        <v>750000</v>
      </c>
      <c r="AK96" s="99">
        <v>4</v>
      </c>
      <c r="AL96" s="99">
        <f t="shared" si="25"/>
        <v>200</v>
      </c>
      <c r="AM96" s="117">
        <f t="shared" si="11"/>
        <v>150000000</v>
      </c>
      <c r="AN96" s="99"/>
      <c r="AQ96" t="s">
        <v>25</v>
      </c>
    </row>
    <row r="97" spans="4:47">
      <c r="D97" s="2" t="s">
        <v>478</v>
      </c>
      <c r="E97" s="3">
        <v>1083333</v>
      </c>
      <c r="F97" s="96"/>
      <c r="G97" s="96"/>
      <c r="H97" s="96"/>
      <c r="I97" s="96"/>
      <c r="J97" s="96" t="s">
        <v>25</v>
      </c>
      <c r="K97" s="96"/>
      <c r="P97" s="128"/>
      <c r="Q97" s="35">
        <v>1420747</v>
      </c>
      <c r="R97" s="5" t="s">
        <v>4371</v>
      </c>
      <c r="S97" s="5">
        <f>S96</f>
        <v>226</v>
      </c>
      <c r="T97" s="5" t="s">
        <v>4382</v>
      </c>
      <c r="U97" s="168">
        <v>203.1</v>
      </c>
      <c r="V97" s="99">
        <f t="shared" si="22"/>
        <v>241.39853917808219</v>
      </c>
      <c r="W97" s="32">
        <f t="shared" si="23"/>
        <v>246.22650996164384</v>
      </c>
      <c r="X97" s="32">
        <f t="shared" si="24"/>
        <v>251.0544807452055</v>
      </c>
      <c r="Y97">
        <v>6980</v>
      </c>
      <c r="AH97" s="99">
        <v>77</v>
      </c>
      <c r="AI97" s="113" t="s">
        <v>4510</v>
      </c>
      <c r="AJ97" s="113">
        <v>1900000</v>
      </c>
      <c r="AK97" s="99">
        <v>3</v>
      </c>
      <c r="AL97" s="99">
        <f t="shared" si="25"/>
        <v>196</v>
      </c>
      <c r="AM97" s="117">
        <f t="shared" si="11"/>
        <v>372400000</v>
      </c>
      <c r="AN97" s="99"/>
    </row>
    <row r="98" spans="4:47">
      <c r="D98" s="2"/>
      <c r="E98" s="3"/>
      <c r="F98" s="96"/>
      <c r="G98" s="96"/>
      <c r="H98" s="96"/>
      <c r="I98" s="96"/>
      <c r="J98" s="96"/>
      <c r="K98" s="96" t="s">
        <v>25</v>
      </c>
      <c r="P98" s="128"/>
      <c r="Q98" s="35">
        <v>2010885</v>
      </c>
      <c r="R98" s="5" t="s">
        <v>4391</v>
      </c>
      <c r="S98" s="5">
        <f>S97-3</f>
        <v>223</v>
      </c>
      <c r="T98" s="5" t="s">
        <v>4397</v>
      </c>
      <c r="U98" s="168">
        <v>202.1</v>
      </c>
      <c r="V98" s="99">
        <f t="shared" si="22"/>
        <v>239.74486246575344</v>
      </c>
      <c r="W98" s="32">
        <f t="shared" si="23"/>
        <v>244.53975971506853</v>
      </c>
      <c r="X98" s="32">
        <f t="shared" si="24"/>
        <v>249.33465696438358</v>
      </c>
      <c r="Y98">
        <v>6963</v>
      </c>
      <c r="AH98" s="99">
        <v>78</v>
      </c>
      <c r="AI98" s="113" t="s">
        <v>4523</v>
      </c>
      <c r="AJ98" s="113">
        <v>6400000</v>
      </c>
      <c r="AK98" s="99">
        <v>1</v>
      </c>
      <c r="AL98" s="99">
        <f t="shared" si="25"/>
        <v>193</v>
      </c>
      <c r="AM98" s="117">
        <f t="shared" si="11"/>
        <v>1235200000</v>
      </c>
      <c r="AN98" s="99"/>
      <c r="AT98" s="96" t="s">
        <v>25</v>
      </c>
    </row>
    <row r="99" spans="4:47">
      <c r="D99" s="2"/>
      <c r="E99" s="3"/>
      <c r="F99" s="96"/>
      <c r="G99" s="96"/>
      <c r="H99" s="96"/>
      <c r="I99" s="96"/>
      <c r="J99" s="96"/>
      <c r="K99" s="96"/>
      <c r="L99" s="96"/>
      <c r="M99" s="96"/>
      <c r="N99" s="96"/>
      <c r="P99" s="115"/>
      <c r="Q99" s="35">
        <v>444</v>
      </c>
      <c r="R99" s="5" t="s">
        <v>4402</v>
      </c>
      <c r="S99" s="5">
        <f>S98-3</f>
        <v>220</v>
      </c>
      <c r="T99" s="5" t="s">
        <v>4606</v>
      </c>
      <c r="U99" s="168">
        <v>441.8</v>
      </c>
      <c r="V99" s="99">
        <f t="shared" si="22"/>
        <v>523.07667506849327</v>
      </c>
      <c r="W99" s="32">
        <f t="shared" si="23"/>
        <v>533.53820856986317</v>
      </c>
      <c r="X99" s="32">
        <f t="shared" si="24"/>
        <v>543.99974207123307</v>
      </c>
      <c r="Y99" s="96">
        <v>0</v>
      </c>
      <c r="AH99" s="99">
        <v>79</v>
      </c>
      <c r="AI99" s="113" t="s">
        <v>4521</v>
      </c>
      <c r="AJ99" s="113">
        <v>5000</v>
      </c>
      <c r="AK99" s="99">
        <v>5</v>
      </c>
      <c r="AL99" s="99">
        <f t="shared" si="25"/>
        <v>192</v>
      </c>
      <c r="AM99" s="117">
        <f t="shared" si="11"/>
        <v>960000</v>
      </c>
      <c r="AN99" s="99"/>
      <c r="AP99" t="s">
        <v>25</v>
      </c>
    </row>
    <row r="100" spans="4:47">
      <c r="D100" s="2" t="s">
        <v>6</v>
      </c>
      <c r="E100" s="3">
        <f>SUM(E77:E98)</f>
        <v>3383333</v>
      </c>
      <c r="F100" s="96"/>
      <c r="G100" s="96"/>
      <c r="H100" s="96"/>
      <c r="I100" s="96"/>
      <c r="J100" s="96"/>
      <c r="K100" s="96"/>
      <c r="L100" s="96"/>
      <c r="M100" s="96"/>
      <c r="N100" s="96"/>
      <c r="Q100" s="35">
        <v>1971103</v>
      </c>
      <c r="R100" s="5" t="s">
        <v>4413</v>
      </c>
      <c r="S100" s="5">
        <f>S99-1</f>
        <v>219</v>
      </c>
      <c r="T100" s="5" t="s">
        <v>4414</v>
      </c>
      <c r="U100" s="168">
        <v>196.2</v>
      </c>
      <c r="V100" s="99">
        <f t="shared" si="22"/>
        <v>232.14383999999998</v>
      </c>
      <c r="W100" s="32">
        <f t="shared" si="23"/>
        <v>236.78671679999999</v>
      </c>
      <c r="X100" s="32">
        <f t="shared" si="24"/>
        <v>241.4295936</v>
      </c>
      <c r="Y100" s="96">
        <v>9904</v>
      </c>
      <c r="AH100" s="99">
        <v>80</v>
      </c>
      <c r="AI100" s="113" t="s">
        <v>4553</v>
      </c>
      <c r="AJ100" s="113">
        <v>-1750148</v>
      </c>
      <c r="AK100" s="99">
        <v>1</v>
      </c>
      <c r="AL100" s="99">
        <f t="shared" si="25"/>
        <v>187</v>
      </c>
      <c r="AM100" s="117">
        <f t="shared" si="11"/>
        <v>-327277676</v>
      </c>
      <c r="AN100" s="99"/>
    </row>
    <row r="101" spans="4:47">
      <c r="D101" s="2" t="s">
        <v>328</v>
      </c>
      <c r="E101" s="3">
        <f>E100/30</f>
        <v>112777.76666666666</v>
      </c>
      <c r="K101" s="96"/>
      <c r="L101" s="96"/>
      <c r="M101" s="96"/>
      <c r="N101" s="96"/>
      <c r="Q101" s="35">
        <v>1049856</v>
      </c>
      <c r="R101" s="5" t="s">
        <v>4435</v>
      </c>
      <c r="S101" s="5">
        <f>S100-6</f>
        <v>213</v>
      </c>
      <c r="T101" s="5" t="s">
        <v>4474</v>
      </c>
      <c r="U101" s="168">
        <v>184.5</v>
      </c>
      <c r="V101" s="99">
        <f t="shared" si="22"/>
        <v>217.45119452054797</v>
      </c>
      <c r="W101" s="32">
        <f t="shared" si="23"/>
        <v>221.80021841095893</v>
      </c>
      <c r="X101" s="32">
        <f t="shared" si="24"/>
        <v>226.1492423013699</v>
      </c>
      <c r="Y101" s="96">
        <v>0</v>
      </c>
      <c r="AH101" s="99">
        <v>81</v>
      </c>
      <c r="AI101" s="113" t="s">
        <v>4556</v>
      </c>
      <c r="AJ101" s="113">
        <v>400000</v>
      </c>
      <c r="AK101" s="99">
        <v>0</v>
      </c>
      <c r="AL101" s="99">
        <f t="shared" si="25"/>
        <v>186</v>
      </c>
      <c r="AM101" s="117">
        <f t="shared" si="11"/>
        <v>74400000</v>
      </c>
      <c r="AN101" s="99"/>
    </row>
    <row r="102" spans="4:47">
      <c r="F102" s="96"/>
      <c r="G102" s="96"/>
      <c r="H102" s="96"/>
      <c r="I102" s="96"/>
      <c r="J102" s="96" t="s">
        <v>25</v>
      </c>
      <c r="K102" t="s">
        <v>25</v>
      </c>
      <c r="L102" s="96"/>
      <c r="M102" s="96"/>
      <c r="N102" s="96"/>
      <c r="Q102" s="35">
        <v>1783234</v>
      </c>
      <c r="R102" s="5" t="s">
        <v>4437</v>
      </c>
      <c r="S102" s="5">
        <f>S101-2</f>
        <v>211</v>
      </c>
      <c r="T102" s="5" t="s">
        <v>4438</v>
      </c>
      <c r="U102" s="168">
        <v>177.5</v>
      </c>
      <c r="V102" s="99">
        <f t="shared" si="22"/>
        <v>208.92868493150687</v>
      </c>
      <c r="W102" s="32">
        <f t="shared" si="23"/>
        <v>213.10725863013701</v>
      </c>
      <c r="X102" s="32">
        <f t="shared" si="24"/>
        <v>217.28583232876716</v>
      </c>
      <c r="Y102" s="96">
        <v>0</v>
      </c>
      <c r="AH102" s="99">
        <v>82</v>
      </c>
      <c r="AI102" s="113" t="s">
        <v>4556</v>
      </c>
      <c r="AJ102" s="113">
        <v>-2105421</v>
      </c>
      <c r="AK102" s="99">
        <v>1</v>
      </c>
      <c r="AL102" s="99">
        <f t="shared" si="25"/>
        <v>186</v>
      </c>
      <c r="AM102" s="117">
        <f t="shared" si="11"/>
        <v>-391608306</v>
      </c>
      <c r="AN102" s="99"/>
      <c r="AO102" t="s">
        <v>25</v>
      </c>
    </row>
    <row r="103" spans="4:47">
      <c r="Q103" s="35">
        <v>1662335</v>
      </c>
      <c r="R103" s="5" t="s">
        <v>4441</v>
      </c>
      <c r="S103" s="5">
        <f>S102-5</f>
        <v>206</v>
      </c>
      <c r="T103" s="218" t="s">
        <v>4589</v>
      </c>
      <c r="U103" s="168">
        <v>190.3</v>
      </c>
      <c r="V103" s="99">
        <f t="shared" si="22"/>
        <v>223.26517369863015</v>
      </c>
      <c r="W103" s="32">
        <f t="shared" si="23"/>
        <v>227.73047717260275</v>
      </c>
      <c r="X103" s="32">
        <f t="shared" si="24"/>
        <v>232.19578064657537</v>
      </c>
      <c r="Y103" s="96">
        <v>10000</v>
      </c>
      <c r="AH103" s="99">
        <v>83</v>
      </c>
      <c r="AI103" s="113" t="s">
        <v>4559</v>
      </c>
      <c r="AJ103" s="113">
        <v>-5527618</v>
      </c>
      <c r="AK103" s="99">
        <v>0</v>
      </c>
      <c r="AL103" s="99">
        <f t="shared" si="25"/>
        <v>185</v>
      </c>
      <c r="AM103" s="117">
        <f t="shared" si="11"/>
        <v>-1022609330</v>
      </c>
      <c r="AN103" s="99"/>
    </row>
    <row r="104" spans="4:47">
      <c r="Q104" s="35">
        <v>2272487</v>
      </c>
      <c r="R104" s="5" t="s">
        <v>4599</v>
      </c>
      <c r="S104" s="5">
        <f>S103-42</f>
        <v>164</v>
      </c>
      <c r="T104" s="5" t="s">
        <v>4600</v>
      </c>
      <c r="U104" s="168">
        <v>174.9</v>
      </c>
      <c r="V104" s="99">
        <f t="shared" si="22"/>
        <v>199.56233753424661</v>
      </c>
      <c r="W104" s="32">
        <f t="shared" si="23"/>
        <v>203.55358428493153</v>
      </c>
      <c r="X104" s="32">
        <f t="shared" si="24"/>
        <v>207.54483103561648</v>
      </c>
      <c r="Y104" s="96">
        <v>5664</v>
      </c>
      <c r="AH104" s="99">
        <v>84</v>
      </c>
      <c r="AI104" s="113" t="s">
        <v>4559</v>
      </c>
      <c r="AJ104" s="113">
        <v>3900000</v>
      </c>
      <c r="AK104" s="99">
        <v>3</v>
      </c>
      <c r="AL104" s="99">
        <f t="shared" si="25"/>
        <v>185</v>
      </c>
      <c r="AM104" s="117">
        <f t="shared" si="11"/>
        <v>721500000</v>
      </c>
      <c r="AN104" s="99"/>
    </row>
    <row r="105" spans="4:47">
      <c r="F105" s="213" t="s">
        <v>4690</v>
      </c>
      <c r="G105" s="213" t="s">
        <v>941</v>
      </c>
      <c r="H105" s="213" t="s">
        <v>4677</v>
      </c>
      <c r="I105" s="213" t="s">
        <v>4676</v>
      </c>
      <c r="J105" s="32" t="s">
        <v>4538</v>
      </c>
      <c r="K105" s="213" t="s">
        <v>4669</v>
      </c>
      <c r="L105" s="32" t="s">
        <v>4671</v>
      </c>
      <c r="M105" s="32" t="s">
        <v>4644</v>
      </c>
      <c r="N105" s="213" t="s">
        <v>4645</v>
      </c>
      <c r="Q105" s="35">
        <v>3975257</v>
      </c>
      <c r="R105" s="5" t="s">
        <v>4604</v>
      </c>
      <c r="S105" s="5">
        <f>S104-1</f>
        <v>163</v>
      </c>
      <c r="T105" s="5" t="s">
        <v>4605</v>
      </c>
      <c r="U105" s="168">
        <v>173</v>
      </c>
      <c r="V105" s="99">
        <f t="shared" si="22"/>
        <v>197.26170958904112</v>
      </c>
      <c r="W105" s="32">
        <f t="shared" si="23"/>
        <v>201.20694378082194</v>
      </c>
      <c r="X105" s="32">
        <f t="shared" si="24"/>
        <v>205.15217797260277</v>
      </c>
      <c r="Y105" s="96">
        <v>10000</v>
      </c>
      <c r="AH105" s="99">
        <v>85</v>
      </c>
      <c r="AI105" s="113" t="s">
        <v>4560</v>
      </c>
      <c r="AJ105" s="113">
        <v>-3969754</v>
      </c>
      <c r="AK105" s="99">
        <v>1</v>
      </c>
      <c r="AL105" s="99">
        <f t="shared" si="25"/>
        <v>182</v>
      </c>
      <c r="AM105" s="117">
        <f t="shared" si="11"/>
        <v>-722495228</v>
      </c>
      <c r="AN105" s="99"/>
    </row>
    <row r="106" spans="4:47">
      <c r="F106" s="199">
        <f>$L$114/G106</f>
        <v>20165.866433871674</v>
      </c>
      <c r="G106" s="199">
        <f>P52</f>
        <v>229.1</v>
      </c>
      <c r="H106" s="199" t="s">
        <v>4790</v>
      </c>
      <c r="I106" s="199" t="s">
        <v>4789</v>
      </c>
      <c r="J106" s="214" t="s">
        <v>4242</v>
      </c>
      <c r="K106" s="199">
        <v>147</v>
      </c>
      <c r="L106" s="215">
        <f t="shared" ref="L106:L111" si="26">K106*$L$114</f>
        <v>679140000</v>
      </c>
      <c r="M106" s="215">
        <f>N21+N33+N52</f>
        <v>1004459854.3</v>
      </c>
      <c r="N106" s="183">
        <f t="shared" ref="N106:N110" si="27">L106-M106</f>
        <v>-325319854.29999995</v>
      </c>
      <c r="Q106" s="35">
        <v>1031662</v>
      </c>
      <c r="R106" s="5" t="s">
        <v>4233</v>
      </c>
      <c r="S106" s="5">
        <f>S105-1</f>
        <v>162</v>
      </c>
      <c r="T106" s="5" t="s">
        <v>4608</v>
      </c>
      <c r="U106" s="168">
        <v>171.2</v>
      </c>
      <c r="V106" s="99">
        <f t="shared" si="22"/>
        <v>195.07794410958905</v>
      </c>
      <c r="W106" s="32">
        <f t="shared" si="23"/>
        <v>198.97950299178083</v>
      </c>
      <c r="X106" s="32">
        <f t="shared" si="24"/>
        <v>202.88106187397261</v>
      </c>
      <c r="Y106" s="96">
        <v>8695</v>
      </c>
      <c r="AH106" s="99">
        <v>86</v>
      </c>
      <c r="AI106" s="113" t="s">
        <v>4571</v>
      </c>
      <c r="AJ106" s="113">
        <v>-25574455</v>
      </c>
      <c r="AK106" s="99">
        <v>0</v>
      </c>
      <c r="AL106" s="99">
        <f t="shared" si="25"/>
        <v>181</v>
      </c>
      <c r="AM106" s="117">
        <f t="shared" si="11"/>
        <v>-4628976355</v>
      </c>
      <c r="AN106" s="99"/>
      <c r="AP106" t="s">
        <v>25</v>
      </c>
    </row>
    <row r="107" spans="4:47">
      <c r="F107" s="213">
        <f>$L$114/G107</f>
        <v>875.26523188845113</v>
      </c>
      <c r="G107" s="213">
        <f>P48</f>
        <v>5278.4</v>
      </c>
      <c r="H107" s="213" t="s">
        <v>4975</v>
      </c>
      <c r="I107" s="213" t="s">
        <v>4976</v>
      </c>
      <c r="J107" s="32" t="s">
        <v>4393</v>
      </c>
      <c r="K107" s="213">
        <v>14</v>
      </c>
      <c r="L107" s="1">
        <f t="shared" si="26"/>
        <v>64680000</v>
      </c>
      <c r="M107" s="1">
        <f>N26+N48+N29</f>
        <v>53818566.399999991</v>
      </c>
      <c r="N107" s="113">
        <f t="shared" si="27"/>
        <v>10861433.600000009</v>
      </c>
      <c r="Q107" s="35">
        <v>577500</v>
      </c>
      <c r="R107" s="5" t="s">
        <v>4233</v>
      </c>
      <c r="S107" s="5">
        <f>S106</f>
        <v>162</v>
      </c>
      <c r="T107" s="5" t="s">
        <v>4612</v>
      </c>
      <c r="U107" s="168">
        <v>175</v>
      </c>
      <c r="V107" s="99">
        <f t="shared" si="22"/>
        <v>199.40794520547948</v>
      </c>
      <c r="W107" s="32">
        <f t="shared" si="23"/>
        <v>203.39610410958906</v>
      </c>
      <c r="X107" s="32">
        <f t="shared" si="24"/>
        <v>207.38426301369867</v>
      </c>
      <c r="Y107" s="96"/>
      <c r="AH107" s="99">
        <v>87</v>
      </c>
      <c r="AI107" s="113" t="s">
        <v>4571</v>
      </c>
      <c r="AJ107" s="113">
        <v>4000000</v>
      </c>
      <c r="AK107" s="99">
        <v>1</v>
      </c>
      <c r="AL107" s="99">
        <f t="shared" si="25"/>
        <v>181</v>
      </c>
      <c r="AM107" s="117">
        <f t="shared" si="11"/>
        <v>724000000</v>
      </c>
      <c r="AN107" s="99"/>
    </row>
    <row r="108" spans="4:47">
      <c r="F108" s="199">
        <v>0</v>
      </c>
      <c r="G108" s="199">
        <v>0</v>
      </c>
      <c r="H108" s="199" t="s">
        <v>3881</v>
      </c>
      <c r="I108" s="199" t="s">
        <v>4680</v>
      </c>
      <c r="J108" s="214" t="s">
        <v>4389</v>
      </c>
      <c r="K108" s="199">
        <v>0</v>
      </c>
      <c r="L108" s="215">
        <f t="shared" si="26"/>
        <v>0</v>
      </c>
      <c r="M108" s="215">
        <f>0</f>
        <v>0</v>
      </c>
      <c r="N108" s="183">
        <f t="shared" si="27"/>
        <v>0</v>
      </c>
      <c r="Q108" s="35">
        <v>12636487</v>
      </c>
      <c r="R108" s="5" t="s">
        <v>3691</v>
      </c>
      <c r="S108" s="5">
        <f>S107-2</f>
        <v>160</v>
      </c>
      <c r="T108" s="5" t="s">
        <v>4615</v>
      </c>
      <c r="U108" s="168">
        <v>172.1</v>
      </c>
      <c r="V108" s="99">
        <f t="shared" si="22"/>
        <v>195.83942684931509</v>
      </c>
      <c r="W108" s="32">
        <f t="shared" si="23"/>
        <v>199.75621538630139</v>
      </c>
      <c r="X108" s="32">
        <f t="shared" si="24"/>
        <v>203.67300392328769</v>
      </c>
      <c r="Y108" s="96"/>
      <c r="AH108" s="99">
        <v>88</v>
      </c>
      <c r="AI108" s="113" t="s">
        <v>994</v>
      </c>
      <c r="AJ108" s="113">
        <v>-5000000</v>
      </c>
      <c r="AK108" s="99">
        <v>2</v>
      </c>
      <c r="AL108" s="99">
        <f t="shared" si="25"/>
        <v>180</v>
      </c>
      <c r="AM108" s="117">
        <f t="shared" si="11"/>
        <v>-900000000</v>
      </c>
      <c r="AN108" s="99"/>
    </row>
    <row r="109" spans="4:47">
      <c r="F109" s="213">
        <f>$L$114/G109</f>
        <v>6432.7485380116959</v>
      </c>
      <c r="G109" s="213">
        <f>P50</f>
        <v>718.2</v>
      </c>
      <c r="H109" s="213" t="s">
        <v>4679</v>
      </c>
      <c r="I109" s="213" t="s">
        <v>4678</v>
      </c>
      <c r="J109" s="32" t="s">
        <v>4408</v>
      </c>
      <c r="K109" s="213">
        <v>54</v>
      </c>
      <c r="L109" s="1">
        <f t="shared" si="26"/>
        <v>249480000</v>
      </c>
      <c r="M109" s="1">
        <f>N50+N23</f>
        <v>249221863.80000001</v>
      </c>
      <c r="N109" s="113">
        <f t="shared" si="27"/>
        <v>258136.19999998808</v>
      </c>
      <c r="Q109" s="169">
        <v>60508</v>
      </c>
      <c r="R109" s="168" t="s">
        <v>4618</v>
      </c>
      <c r="S109" s="168">
        <f>S108-3</f>
        <v>157</v>
      </c>
      <c r="T109" s="168" t="s">
        <v>4896</v>
      </c>
      <c r="U109" s="168">
        <v>1204.7</v>
      </c>
      <c r="V109" s="99">
        <f t="shared" si="22"/>
        <v>1368.103527671233</v>
      </c>
      <c r="W109" s="32">
        <f t="shared" si="23"/>
        <v>1395.4655982246577</v>
      </c>
      <c r="X109" s="32">
        <f t="shared" si="24"/>
        <v>1422.8276687780824</v>
      </c>
      <c r="Y109" s="96"/>
      <c r="AD109" s="96"/>
      <c r="AE109"/>
      <c r="AF109"/>
      <c r="AH109" s="99">
        <v>89</v>
      </c>
      <c r="AI109" s="113" t="s">
        <v>4576</v>
      </c>
      <c r="AJ109" s="113">
        <v>10000000</v>
      </c>
      <c r="AK109" s="99">
        <v>4</v>
      </c>
      <c r="AL109" s="99">
        <f t="shared" si="25"/>
        <v>178</v>
      </c>
      <c r="AM109" s="117">
        <f t="shared" si="11"/>
        <v>1780000000</v>
      </c>
      <c r="AN109" s="99"/>
    </row>
    <row r="110" spans="4:47">
      <c r="F110" s="199"/>
      <c r="G110" s="199"/>
      <c r="H110" s="199"/>
      <c r="I110" s="199"/>
      <c r="J110" s="214" t="s">
        <v>4655</v>
      </c>
      <c r="K110" s="199">
        <v>1</v>
      </c>
      <c r="L110" s="215">
        <f t="shared" si="26"/>
        <v>4620000</v>
      </c>
      <c r="M110" s="215">
        <f>N46</f>
        <v>74510</v>
      </c>
      <c r="N110" s="183">
        <f t="shared" si="27"/>
        <v>4545490</v>
      </c>
      <c r="Q110" s="39">
        <v>11121445</v>
      </c>
      <c r="R110" s="5" t="s">
        <v>4618</v>
      </c>
      <c r="S110" s="5">
        <f>S109</f>
        <v>157</v>
      </c>
      <c r="T110" s="5" t="s">
        <v>4802</v>
      </c>
      <c r="U110" s="168">
        <v>171.8</v>
      </c>
      <c r="V110" s="99">
        <f t="shared" si="22"/>
        <v>195.10266958904114</v>
      </c>
      <c r="W110" s="32">
        <f t="shared" si="23"/>
        <v>199.00472298082198</v>
      </c>
      <c r="X110" s="32">
        <f t="shared" si="24"/>
        <v>202.90677637260279</v>
      </c>
      <c r="AH110" s="99">
        <v>90</v>
      </c>
      <c r="AI110" s="113" t="s">
        <v>4578</v>
      </c>
      <c r="AJ110" s="113">
        <v>-5241937</v>
      </c>
      <c r="AK110" s="99">
        <v>0</v>
      </c>
      <c r="AL110" s="99">
        <f t="shared" si="25"/>
        <v>174</v>
      </c>
      <c r="AM110" s="117">
        <f t="shared" si="11"/>
        <v>-912097038</v>
      </c>
      <c r="AN110" s="99"/>
    </row>
    <row r="111" spans="4:47">
      <c r="F111" s="191"/>
      <c r="G111" s="191"/>
      <c r="H111" s="191"/>
      <c r="I111" s="191"/>
      <c r="J111" s="258" t="s">
        <v>5148</v>
      </c>
      <c r="K111" s="191">
        <v>65</v>
      </c>
      <c r="L111" s="259">
        <f t="shared" si="26"/>
        <v>300300000</v>
      </c>
      <c r="M111" s="259">
        <v>0</v>
      </c>
      <c r="N111" s="86">
        <f>L111-M111</f>
        <v>300300000</v>
      </c>
      <c r="Q111" s="35">
        <v>40048573</v>
      </c>
      <c r="R111" s="5" t="s">
        <v>4628</v>
      </c>
      <c r="S111" s="5">
        <f>S110-3</f>
        <v>154</v>
      </c>
      <c r="T111" s="5" t="s">
        <v>4632</v>
      </c>
      <c r="U111" s="168">
        <v>498.9</v>
      </c>
      <c r="V111" s="99">
        <f t="shared" si="22"/>
        <v>565.42182246575351</v>
      </c>
      <c r="W111" s="32">
        <f t="shared" ref="W111:W141" si="28">V111*(1+$W$19/100)</f>
        <v>576.73025891506859</v>
      </c>
      <c r="X111" s="32">
        <f t="shared" ref="X111:X141" si="29">V111*(1+$X$19/100)</f>
        <v>588.03869536438367</v>
      </c>
      <c r="AH111" s="99">
        <v>91</v>
      </c>
      <c r="AI111" s="113" t="s">
        <v>4578</v>
      </c>
      <c r="AJ111" s="113">
        <v>21900000</v>
      </c>
      <c r="AK111" s="99">
        <v>2</v>
      </c>
      <c r="AL111" s="99">
        <f t="shared" si="25"/>
        <v>174</v>
      </c>
      <c r="AM111" s="117">
        <f t="shared" si="11"/>
        <v>3810600000</v>
      </c>
      <c r="AN111" s="99"/>
      <c r="AP111" t="s">
        <v>25</v>
      </c>
      <c r="AU111"/>
    </row>
    <row r="112" spans="4:47">
      <c r="F112" s="213"/>
      <c r="G112" s="213"/>
      <c r="H112" s="213"/>
      <c r="I112" s="213"/>
      <c r="J112" s="32" t="s">
        <v>4764</v>
      </c>
      <c r="K112" s="213"/>
      <c r="L112" s="1"/>
      <c r="M112" s="1"/>
      <c r="N112" s="113">
        <v>20000000</v>
      </c>
      <c r="O112" t="s">
        <v>25</v>
      </c>
      <c r="Q112" s="35">
        <v>559461</v>
      </c>
      <c r="R112" s="5" t="s">
        <v>4667</v>
      </c>
      <c r="S112" s="5">
        <f>S111-7</f>
        <v>147</v>
      </c>
      <c r="T112" s="5" t="s">
        <v>4674</v>
      </c>
      <c r="U112" s="210">
        <v>508.1</v>
      </c>
      <c r="V112" s="99">
        <f t="shared" si="22"/>
        <v>573.12009534246579</v>
      </c>
      <c r="W112" s="32">
        <f t="shared" si="28"/>
        <v>584.58249724931511</v>
      </c>
      <c r="X112" s="32">
        <f t="shared" si="29"/>
        <v>596.04489915616443</v>
      </c>
      <c r="Y112">
        <v>13000</v>
      </c>
      <c r="AH112" s="99">
        <v>92</v>
      </c>
      <c r="AI112" s="113" t="s">
        <v>4586</v>
      </c>
      <c r="AJ112" s="113">
        <v>-15000000</v>
      </c>
      <c r="AK112" s="99">
        <v>0</v>
      </c>
      <c r="AL112" s="99">
        <f t="shared" si="25"/>
        <v>172</v>
      </c>
      <c r="AM112" s="117">
        <f t="shared" si="11"/>
        <v>-2580000000</v>
      </c>
      <c r="AN112" s="99"/>
      <c r="AO112" t="s">
        <v>25</v>
      </c>
    </row>
    <row r="113" spans="6:46">
      <c r="F113" s="199"/>
      <c r="G113" s="199"/>
      <c r="H113" s="199"/>
      <c r="I113" s="199"/>
      <c r="J113" s="214" t="s">
        <v>4878</v>
      </c>
      <c r="K113" s="199">
        <f>SUM(K106:K111)</f>
        <v>281</v>
      </c>
      <c r="L113" s="215"/>
      <c r="M113" s="215"/>
      <c r="N113" s="183"/>
      <c r="Q113" s="35">
        <v>622942</v>
      </c>
      <c r="R113" s="5" t="s">
        <v>4681</v>
      </c>
      <c r="S113" s="5">
        <f>S112-1</f>
        <v>146</v>
      </c>
      <c r="T113" s="5" t="s">
        <v>4682</v>
      </c>
      <c r="U113" s="210">
        <v>503.3</v>
      </c>
      <c r="V113" s="99">
        <f t="shared" si="22"/>
        <v>567.31976000000009</v>
      </c>
      <c r="W113" s="32">
        <f t="shared" si="28"/>
        <v>578.66615520000005</v>
      </c>
      <c r="X113" s="32">
        <f t="shared" si="29"/>
        <v>590.01255040000012</v>
      </c>
      <c r="Y113" t="s">
        <v>25</v>
      </c>
      <c r="AH113" s="99">
        <v>93</v>
      </c>
      <c r="AI113" s="113" t="s">
        <v>4586</v>
      </c>
      <c r="AJ113" s="113">
        <v>3000000</v>
      </c>
      <c r="AK113" s="99">
        <v>1</v>
      </c>
      <c r="AL113" s="99">
        <f t="shared" si="25"/>
        <v>172</v>
      </c>
      <c r="AM113" s="117">
        <f t="shared" si="11"/>
        <v>516000000</v>
      </c>
      <c r="AN113" s="99"/>
    </row>
    <row r="114" spans="6:46">
      <c r="F114" s="213"/>
      <c r="G114" s="213"/>
      <c r="H114" s="213" t="s">
        <v>25</v>
      </c>
      <c r="I114" s="213"/>
      <c r="J114" s="32"/>
      <c r="K114" s="213">
        <v>3</v>
      </c>
      <c r="L114" s="39">
        <f>10*P53</f>
        <v>4620000</v>
      </c>
      <c r="M114" s="1">
        <f>K114*L114</f>
        <v>13860000</v>
      </c>
      <c r="N114" s="113">
        <f>SUM(N106:N112)-M114</f>
        <v>-3214794.4999999404</v>
      </c>
      <c r="P114" s="114"/>
      <c r="Q114" s="35">
        <v>1472140</v>
      </c>
      <c r="R114" s="5" t="s">
        <v>4687</v>
      </c>
      <c r="S114" s="5">
        <f>S113-3</f>
        <v>143</v>
      </c>
      <c r="T114" s="5" t="s">
        <v>4689</v>
      </c>
      <c r="U114" s="168">
        <v>502</v>
      </c>
      <c r="V114" s="99">
        <f t="shared" si="22"/>
        <v>564.69911232876711</v>
      </c>
      <c r="W114" s="32">
        <f t="shared" si="28"/>
        <v>575.99309457534241</v>
      </c>
      <c r="X114" s="32">
        <f t="shared" si="29"/>
        <v>587.28707682191782</v>
      </c>
      <c r="Y114" t="s">
        <v>25</v>
      </c>
      <c r="AH114" s="99">
        <v>94</v>
      </c>
      <c r="AI114" s="113" t="s">
        <v>4590</v>
      </c>
      <c r="AJ114" s="113">
        <v>-2103736</v>
      </c>
      <c r="AK114" s="99">
        <v>0</v>
      </c>
      <c r="AL114" s="99">
        <f t="shared" si="25"/>
        <v>171</v>
      </c>
      <c r="AM114" s="117">
        <f t="shared" si="11"/>
        <v>-359738856</v>
      </c>
      <c r="AN114" s="99"/>
    </row>
    <row r="115" spans="6:46">
      <c r="F115" s="199"/>
      <c r="G115" s="199"/>
      <c r="H115" s="199"/>
      <c r="I115" s="199"/>
      <c r="J115" s="214"/>
      <c r="K115" s="245" t="s">
        <v>5131</v>
      </c>
      <c r="L115" s="215" t="s">
        <v>4252</v>
      </c>
      <c r="M115" s="215" t="s">
        <v>4663</v>
      </c>
      <c r="N115" s="183" t="s">
        <v>4664</v>
      </c>
      <c r="Q115" s="35">
        <v>4394591</v>
      </c>
      <c r="R115" s="5" t="s">
        <v>4691</v>
      </c>
      <c r="S115" s="5">
        <f>S114-1</f>
        <v>142</v>
      </c>
      <c r="T115" s="5" t="s">
        <v>4692</v>
      </c>
      <c r="U115" s="168">
        <v>481.7</v>
      </c>
      <c r="V115" s="99">
        <f t="shared" si="22"/>
        <v>541.49414684931514</v>
      </c>
      <c r="W115" s="32">
        <f t="shared" si="28"/>
        <v>552.32402978630148</v>
      </c>
      <c r="X115" s="32">
        <f t="shared" si="29"/>
        <v>563.15391272328782</v>
      </c>
      <c r="AH115" s="99">
        <v>95</v>
      </c>
      <c r="AI115" s="113" t="s">
        <v>4590</v>
      </c>
      <c r="AJ115" s="113">
        <v>220000</v>
      </c>
      <c r="AK115" s="99">
        <v>3</v>
      </c>
      <c r="AL115" s="99">
        <f t="shared" si="25"/>
        <v>171</v>
      </c>
      <c r="AM115" s="117">
        <f t="shared" si="11"/>
        <v>37620000</v>
      </c>
      <c r="AN115" s="99"/>
      <c r="AR115" s="96"/>
      <c r="AS115" s="96"/>
      <c r="AT115"/>
    </row>
    <row r="116" spans="6:46">
      <c r="F116" s="213"/>
      <c r="G116" s="213"/>
      <c r="H116" s="213"/>
      <c r="I116" s="213"/>
      <c r="J116" s="32" t="s">
        <v>4670</v>
      </c>
      <c r="K116" s="213"/>
      <c r="L116" s="1"/>
      <c r="M116" s="1"/>
      <c r="N116" s="113"/>
      <c r="Q116" s="117">
        <v>5924703</v>
      </c>
      <c r="R116" s="19" t="s">
        <v>4714</v>
      </c>
      <c r="S116" s="19">
        <f>S115-13</f>
        <v>129</v>
      </c>
      <c r="T116" s="19" t="s">
        <v>4791</v>
      </c>
      <c r="U116" s="213">
        <v>489</v>
      </c>
      <c r="V116" s="99">
        <f t="shared" si="22"/>
        <v>544.82370410958913</v>
      </c>
      <c r="W116" s="32">
        <f t="shared" si="28"/>
        <v>555.72017819178097</v>
      </c>
      <c r="X116" s="32">
        <f t="shared" si="29"/>
        <v>566.6166522739727</v>
      </c>
      <c r="Y116">
        <v>23000</v>
      </c>
      <c r="AH116" s="99">
        <v>96</v>
      </c>
      <c r="AI116" s="113" t="s">
        <v>4599</v>
      </c>
      <c r="AJ116" s="113">
        <v>4000000</v>
      </c>
      <c r="AK116" s="99">
        <v>1</v>
      </c>
      <c r="AL116" s="99">
        <f t="shared" si="25"/>
        <v>168</v>
      </c>
      <c r="AM116" s="117">
        <f t="shared" si="11"/>
        <v>672000000</v>
      </c>
      <c r="AN116" s="99"/>
    </row>
    <row r="117" spans="6:46">
      <c r="M117" t="s">
        <v>25</v>
      </c>
      <c r="Q117" s="117">
        <v>153812</v>
      </c>
      <c r="R117" s="19" t="s">
        <v>4797</v>
      </c>
      <c r="S117" s="19">
        <f>S116-17</f>
        <v>112</v>
      </c>
      <c r="T117" s="19" t="s">
        <v>4798</v>
      </c>
      <c r="U117" s="213">
        <v>537.20000000000005</v>
      </c>
      <c r="V117" s="99">
        <f t="shared" si="22"/>
        <v>591.5204865753426</v>
      </c>
      <c r="W117" s="32">
        <f t="shared" si="28"/>
        <v>603.35089630684945</v>
      </c>
      <c r="X117" s="32">
        <f t="shared" si="29"/>
        <v>615.1813060383563</v>
      </c>
      <c r="Y117">
        <v>6000</v>
      </c>
      <c r="AH117" s="99">
        <v>97</v>
      </c>
      <c r="AI117" s="113" t="s">
        <v>4604</v>
      </c>
      <c r="AJ117" s="113">
        <v>-9000000</v>
      </c>
      <c r="AK117" s="99">
        <v>0</v>
      </c>
      <c r="AL117" s="99">
        <f t="shared" si="25"/>
        <v>167</v>
      </c>
      <c r="AM117" s="117">
        <f t="shared" si="11"/>
        <v>-1503000000</v>
      </c>
      <c r="AN117" s="99"/>
      <c r="AP117" t="s">
        <v>25</v>
      </c>
    </row>
    <row r="118" spans="6:46">
      <c r="P118" s="114"/>
      <c r="Q118" s="169">
        <v>6150141</v>
      </c>
      <c r="R118" s="213" t="s">
        <v>4886</v>
      </c>
      <c r="S118" s="213">
        <f>S117-34</f>
        <v>78</v>
      </c>
      <c r="T118" s="213" t="s">
        <v>4893</v>
      </c>
      <c r="U118" s="213">
        <v>180.6</v>
      </c>
      <c r="V118" s="99">
        <f t="shared" si="22"/>
        <v>194.15143232876716</v>
      </c>
      <c r="W118" s="32">
        <f t="shared" si="28"/>
        <v>198.03446097534251</v>
      </c>
      <c r="X118" s="32">
        <f t="shared" si="29"/>
        <v>201.91748962191784</v>
      </c>
      <c r="AH118" s="99">
        <v>98</v>
      </c>
      <c r="AI118" s="113" t="s">
        <v>4604</v>
      </c>
      <c r="AJ118" s="113">
        <v>13900000</v>
      </c>
      <c r="AK118" s="99">
        <v>2</v>
      </c>
      <c r="AL118" s="99">
        <f t="shared" si="25"/>
        <v>167</v>
      </c>
      <c r="AM118" s="117">
        <f t="shared" si="11"/>
        <v>2321300000</v>
      </c>
      <c r="AN118" s="99"/>
    </row>
    <row r="119" spans="6:46">
      <c r="K119" s="168" t="s">
        <v>4538</v>
      </c>
      <c r="L119" s="168" t="s">
        <v>4539</v>
      </c>
      <c r="M119" s="168" t="s">
        <v>4433</v>
      </c>
      <c r="N119" s="56" t="s">
        <v>190</v>
      </c>
      <c r="Q119" s="169">
        <v>162112</v>
      </c>
      <c r="R119" s="213" t="s">
        <v>4906</v>
      </c>
      <c r="S119" s="213">
        <f>S118-7</f>
        <v>71</v>
      </c>
      <c r="T119" s="213" t="s">
        <v>4908</v>
      </c>
      <c r="U119" s="213">
        <v>632.79999999999995</v>
      </c>
      <c r="V119" s="99">
        <f t="shared" si="22"/>
        <v>676.88448876712334</v>
      </c>
      <c r="W119" s="32">
        <f t="shared" si="28"/>
        <v>690.42217854246587</v>
      </c>
      <c r="X119" s="32">
        <f t="shared" si="29"/>
        <v>703.95986831780829</v>
      </c>
      <c r="Y119">
        <v>3300</v>
      </c>
      <c r="AH119" s="99">
        <v>99</v>
      </c>
      <c r="AI119" s="113" t="s">
        <v>4613</v>
      </c>
      <c r="AJ119" s="113">
        <v>-8127577</v>
      </c>
      <c r="AK119" s="99">
        <v>1</v>
      </c>
      <c r="AL119" s="99">
        <f t="shared" si="25"/>
        <v>165</v>
      </c>
      <c r="AM119" s="117">
        <f t="shared" si="11"/>
        <v>-1341050205</v>
      </c>
      <c r="AN119" s="99"/>
      <c r="AO119" t="s">
        <v>25</v>
      </c>
      <c r="AQ119" t="s">
        <v>25</v>
      </c>
    </row>
    <row r="120" spans="6:46">
      <c r="H120" s="114"/>
      <c r="K120" s="168" t="s">
        <v>4242</v>
      </c>
      <c r="L120" s="169">
        <v>1100000</v>
      </c>
      <c r="M120" s="169">
        <v>1637000</v>
      </c>
      <c r="N120" s="168">
        <f t="shared" ref="N120:N128" si="30">(M120-L120)*100/L120</f>
        <v>48.81818181818182</v>
      </c>
      <c r="Q120" s="169">
        <v>1399908</v>
      </c>
      <c r="R120" s="213" t="s">
        <v>4961</v>
      </c>
      <c r="S120" s="213">
        <f>S119-13</f>
        <v>58</v>
      </c>
      <c r="T120" s="213" t="s">
        <v>4962</v>
      </c>
      <c r="U120" s="213">
        <v>194</v>
      </c>
      <c r="V120" s="99">
        <f t="shared" si="22"/>
        <v>205.58047123287673</v>
      </c>
      <c r="W120" s="32">
        <f t="shared" si="28"/>
        <v>209.69208065753426</v>
      </c>
      <c r="X120" s="32">
        <f t="shared" si="29"/>
        <v>213.80369008219182</v>
      </c>
      <c r="AH120" s="99">
        <v>100</v>
      </c>
      <c r="AI120" s="113" t="s">
        <v>3691</v>
      </c>
      <c r="AJ120" s="113">
        <v>15792549</v>
      </c>
      <c r="AK120" s="99">
        <v>3</v>
      </c>
      <c r="AL120" s="99">
        <f t="shared" si="25"/>
        <v>164</v>
      </c>
      <c r="AM120" s="117">
        <f t="shared" si="11"/>
        <v>2589978036</v>
      </c>
      <c r="AN120" s="99"/>
      <c r="AO120" t="s">
        <v>25</v>
      </c>
      <c r="AP120" t="s">
        <v>25</v>
      </c>
    </row>
    <row r="121" spans="6:46">
      <c r="F121" s="96"/>
      <c r="G121" s="213"/>
      <c r="H121" s="213"/>
      <c r="I121" s="213" t="s">
        <v>5146</v>
      </c>
      <c r="J121" s="1">
        <v>6395582</v>
      </c>
      <c r="K121" s="5" t="s">
        <v>4533</v>
      </c>
      <c r="L121" s="169">
        <v>1100000</v>
      </c>
      <c r="M121" s="169">
        <v>4748000</v>
      </c>
      <c r="N121" s="168">
        <f t="shared" si="30"/>
        <v>331.63636363636363</v>
      </c>
      <c r="Q121" s="169">
        <v>1204033</v>
      </c>
      <c r="R121" s="213" t="s">
        <v>4971</v>
      </c>
      <c r="S121" s="213">
        <f>S120-7</f>
        <v>51</v>
      </c>
      <c r="T121" s="213" t="s">
        <v>4974</v>
      </c>
      <c r="U121" s="213">
        <v>218.5</v>
      </c>
      <c r="V121" s="99">
        <f t="shared" si="22"/>
        <v>230.36963835616439</v>
      </c>
      <c r="W121" s="32">
        <f t="shared" si="28"/>
        <v>234.97703112328767</v>
      </c>
      <c r="X121" s="32">
        <f t="shared" si="29"/>
        <v>239.58442389041096</v>
      </c>
      <c r="AH121" s="99">
        <v>101</v>
      </c>
      <c r="AI121" s="113" t="s">
        <v>4618</v>
      </c>
      <c r="AJ121" s="113">
        <v>8800000</v>
      </c>
      <c r="AK121" s="99">
        <v>0</v>
      </c>
      <c r="AL121" s="99">
        <f t="shared" ref="AL121:AL125" si="31">AL122+AK121</f>
        <v>161</v>
      </c>
      <c r="AM121" s="117">
        <f t="shared" ref="AM121:AM144" si="32">AJ121*AL121</f>
        <v>1416800000</v>
      </c>
      <c r="AN121" s="99"/>
      <c r="AP121" t="s">
        <v>25</v>
      </c>
    </row>
    <row r="122" spans="6:46" ht="45">
      <c r="F122" s="96"/>
      <c r="G122" s="213" t="s">
        <v>941</v>
      </c>
      <c r="H122" s="213" t="s">
        <v>4538</v>
      </c>
      <c r="I122" s="213" t="s">
        <v>937</v>
      </c>
      <c r="J122" s="213" t="s">
        <v>4762</v>
      </c>
      <c r="K122" s="5" t="s">
        <v>4534</v>
      </c>
      <c r="L122" s="169">
        <v>1100000</v>
      </c>
      <c r="M122" s="169">
        <v>5137000</v>
      </c>
      <c r="N122" s="168">
        <f t="shared" si="30"/>
        <v>367</v>
      </c>
      <c r="Q122" s="169">
        <v>8382674</v>
      </c>
      <c r="R122" s="213" t="s">
        <v>4981</v>
      </c>
      <c r="S122" s="213">
        <f>S121-7</f>
        <v>44</v>
      </c>
      <c r="T122" s="213" t="s">
        <v>4987</v>
      </c>
      <c r="U122" s="213">
        <v>192</v>
      </c>
      <c r="V122" s="99">
        <f t="shared" si="22"/>
        <v>201.39905753424659</v>
      </c>
      <c r="W122" s="32">
        <f t="shared" si="28"/>
        <v>205.42703868493152</v>
      </c>
      <c r="X122" s="32">
        <f t="shared" si="29"/>
        <v>209.45501983561647</v>
      </c>
      <c r="Y122" t="s">
        <v>25</v>
      </c>
      <c r="AH122" s="121">
        <v>102</v>
      </c>
      <c r="AI122" s="79" t="s">
        <v>4618</v>
      </c>
      <c r="AJ122" s="79">
        <v>13071612</v>
      </c>
      <c r="AK122" s="121">
        <v>1</v>
      </c>
      <c r="AL122" s="121">
        <f t="shared" si="31"/>
        <v>161</v>
      </c>
      <c r="AM122" s="79">
        <f t="shared" si="32"/>
        <v>2104529532</v>
      </c>
      <c r="AN122" s="205" t="s">
        <v>4619</v>
      </c>
    </row>
    <row r="123" spans="6:46">
      <c r="F123" s="96"/>
      <c r="G123" s="1">
        <f>P52</f>
        <v>229.1</v>
      </c>
      <c r="H123" s="213" t="s">
        <v>4242</v>
      </c>
      <c r="I123" s="213">
        <v>111524</v>
      </c>
      <c r="J123" s="1">
        <f t="shared" ref="J123" si="33">I123*G123</f>
        <v>25550148.399999999</v>
      </c>
      <c r="K123" s="19" t="s">
        <v>4389</v>
      </c>
      <c r="L123" s="169">
        <v>1100000</v>
      </c>
      <c r="M123" s="169">
        <v>4300000</v>
      </c>
      <c r="N123" s="168">
        <f t="shared" si="30"/>
        <v>290.90909090909093</v>
      </c>
      <c r="P123" s="114"/>
      <c r="Q123" s="169">
        <v>190884649</v>
      </c>
      <c r="R123" s="213" t="s">
        <v>5005</v>
      </c>
      <c r="S123" s="213">
        <f>S122-9</f>
        <v>35</v>
      </c>
      <c r="T123" s="213" t="s">
        <v>5008</v>
      </c>
      <c r="U123" s="213">
        <v>193.6</v>
      </c>
      <c r="V123" s="99">
        <f t="shared" si="22"/>
        <v>201.74074739726029</v>
      </c>
      <c r="W123" s="32">
        <f t="shared" si="28"/>
        <v>205.77556234520551</v>
      </c>
      <c r="X123" s="32">
        <f t="shared" si="29"/>
        <v>209.81037729315071</v>
      </c>
      <c r="Y123" t="s">
        <v>25</v>
      </c>
      <c r="AH123" s="89">
        <v>103</v>
      </c>
      <c r="AI123" s="90" t="s">
        <v>4622</v>
      </c>
      <c r="AJ123" s="90">
        <v>16727037</v>
      </c>
      <c r="AK123" s="89">
        <v>0</v>
      </c>
      <c r="AL123" s="89">
        <f t="shared" si="31"/>
        <v>160</v>
      </c>
      <c r="AM123" s="90">
        <f t="shared" si="32"/>
        <v>2676325920</v>
      </c>
      <c r="AN123" s="89" t="s">
        <v>4629</v>
      </c>
    </row>
    <row r="124" spans="6:46">
      <c r="F124" s="96"/>
      <c r="G124" s="1"/>
      <c r="H124" s="213"/>
      <c r="I124" s="213"/>
      <c r="J124" s="1"/>
      <c r="K124" s="5" t="s">
        <v>4408</v>
      </c>
      <c r="L124" s="169">
        <v>1100000</v>
      </c>
      <c r="M124" s="169">
        <v>3191000</v>
      </c>
      <c r="N124" s="168">
        <f t="shared" si="30"/>
        <v>190.09090909090909</v>
      </c>
      <c r="Q124" s="169">
        <v>2099962</v>
      </c>
      <c r="R124" s="213" t="s">
        <v>5007</v>
      </c>
      <c r="S124" s="213">
        <f>S123-1</f>
        <v>34</v>
      </c>
      <c r="T124" s="213" t="s">
        <v>5011</v>
      </c>
      <c r="U124" s="213">
        <v>196.5</v>
      </c>
      <c r="V124" s="99">
        <f t="shared" si="22"/>
        <v>204.61195068493151</v>
      </c>
      <c r="W124" s="32">
        <f t="shared" si="28"/>
        <v>208.70418969863016</v>
      </c>
      <c r="X124" s="32">
        <f t="shared" si="29"/>
        <v>212.79642871232878</v>
      </c>
      <c r="Y124" s="122" t="s">
        <v>25</v>
      </c>
      <c r="AH124" s="99">
        <v>104</v>
      </c>
      <c r="AI124" s="113" t="s">
        <v>4622</v>
      </c>
      <c r="AJ124" s="113">
        <v>12000000</v>
      </c>
      <c r="AK124" s="99">
        <v>1</v>
      </c>
      <c r="AL124" s="99">
        <f t="shared" si="31"/>
        <v>160</v>
      </c>
      <c r="AM124" s="117">
        <f t="shared" si="32"/>
        <v>1920000000</v>
      </c>
      <c r="AN124" s="99" t="s">
        <v>4630</v>
      </c>
    </row>
    <row r="125" spans="6:46">
      <c r="F125" s="96"/>
      <c r="G125" s="213"/>
      <c r="H125" s="213"/>
      <c r="I125" s="113">
        <f>J125-J121</f>
        <v>19154566.399999999</v>
      </c>
      <c r="J125" s="1">
        <f>SUM(J123:J123)</f>
        <v>25550148.399999999</v>
      </c>
      <c r="K125" s="5" t="s">
        <v>4535</v>
      </c>
      <c r="L125" s="169">
        <v>1100000</v>
      </c>
      <c r="M125" s="169">
        <v>5623000</v>
      </c>
      <c r="N125" s="168">
        <f t="shared" si="30"/>
        <v>411.18181818181819</v>
      </c>
      <c r="Q125" s="169">
        <v>130756</v>
      </c>
      <c r="R125" s="213" t="s">
        <v>5012</v>
      </c>
      <c r="S125" s="213">
        <f>S124-1</f>
        <v>33</v>
      </c>
      <c r="T125" s="213" t="s">
        <v>5013</v>
      </c>
      <c r="U125" s="213">
        <v>197.8</v>
      </c>
      <c r="V125" s="99">
        <f t="shared" ref="V125:V141" si="34">U125*(1+$R$89+$Q$15*S125/36500)</f>
        <v>205.81388054794525</v>
      </c>
      <c r="W125" s="32">
        <f t="shared" si="28"/>
        <v>209.93015815890416</v>
      </c>
      <c r="X125" s="32">
        <f t="shared" si="29"/>
        <v>214.04643576986305</v>
      </c>
      <c r="AH125" s="89">
        <v>105</v>
      </c>
      <c r="AI125" s="90" t="s">
        <v>4549</v>
      </c>
      <c r="AJ125" s="90">
        <v>88697667</v>
      </c>
      <c r="AK125" s="89">
        <v>1</v>
      </c>
      <c r="AL125" s="89">
        <f t="shared" si="31"/>
        <v>159</v>
      </c>
      <c r="AM125" s="90">
        <f t="shared" si="32"/>
        <v>14102929053</v>
      </c>
      <c r="AN125" s="89" t="s">
        <v>4631</v>
      </c>
      <c r="AP125" t="s">
        <v>25</v>
      </c>
    </row>
    <row r="126" spans="6:46">
      <c r="F126" s="96"/>
      <c r="G126" s="213"/>
      <c r="H126" s="213"/>
      <c r="I126" s="213" t="s">
        <v>916</v>
      </c>
      <c r="J126" s="213" t="s">
        <v>6</v>
      </c>
      <c r="K126" s="19" t="s">
        <v>4393</v>
      </c>
      <c r="L126" s="169">
        <v>1100000</v>
      </c>
      <c r="M126" s="169">
        <v>7728000</v>
      </c>
      <c r="N126" s="168">
        <f t="shared" si="30"/>
        <v>602.5454545454545</v>
      </c>
      <c r="Q126" s="169">
        <v>795874</v>
      </c>
      <c r="R126" s="213" t="s">
        <v>5026</v>
      </c>
      <c r="S126" s="213">
        <f>S125-6</f>
        <v>27</v>
      </c>
      <c r="T126" s="213" t="s">
        <v>5027</v>
      </c>
      <c r="U126" s="213">
        <v>198.1</v>
      </c>
      <c r="V126" s="99">
        <f t="shared" si="34"/>
        <v>205.21423232876717</v>
      </c>
      <c r="W126" s="32">
        <f t="shared" si="28"/>
        <v>209.3185169753425</v>
      </c>
      <c r="X126" s="32">
        <f t="shared" si="29"/>
        <v>213.42280162191787</v>
      </c>
      <c r="Y126" t="s">
        <v>25</v>
      </c>
      <c r="AH126" s="99">
        <v>106</v>
      </c>
      <c r="AI126" s="113" t="s">
        <v>4552</v>
      </c>
      <c r="AJ126" s="113">
        <v>101000</v>
      </c>
      <c r="AK126" s="99">
        <v>0</v>
      </c>
      <c r="AL126" s="99">
        <f>AL127+AK126</f>
        <v>158</v>
      </c>
      <c r="AM126" s="117">
        <f t="shared" si="32"/>
        <v>15958000</v>
      </c>
      <c r="AN126" s="99"/>
      <c r="AQ126" t="s">
        <v>25</v>
      </c>
    </row>
    <row r="127" spans="6:46">
      <c r="F127" s="96"/>
      <c r="K127" s="5" t="s">
        <v>4537</v>
      </c>
      <c r="L127" s="169">
        <v>1100000</v>
      </c>
      <c r="M127" s="169">
        <v>2904000</v>
      </c>
      <c r="N127" s="168">
        <f t="shared" si="30"/>
        <v>164</v>
      </c>
      <c r="Q127" s="169">
        <v>400348</v>
      </c>
      <c r="R127" s="213" t="s">
        <v>5029</v>
      </c>
      <c r="S127" s="213">
        <f>S126-1</f>
        <v>26</v>
      </c>
      <c r="T127" s="213" t="s">
        <v>5031</v>
      </c>
      <c r="U127" s="213">
        <v>199.3</v>
      </c>
      <c r="V127" s="99">
        <f t="shared" si="34"/>
        <v>206.30443945205482</v>
      </c>
      <c r="W127" s="32">
        <f t="shared" si="28"/>
        <v>210.43052824109591</v>
      </c>
      <c r="X127" s="32">
        <f t="shared" si="29"/>
        <v>214.55661703013703</v>
      </c>
      <c r="AH127" s="149">
        <v>107</v>
      </c>
      <c r="AI127" s="188" t="s">
        <v>4628</v>
      </c>
      <c r="AJ127" s="188">
        <v>-48200</v>
      </c>
      <c r="AK127" s="149">
        <v>0</v>
      </c>
      <c r="AL127" s="149">
        <f t="shared" ref="AL127:AL179" si="35">AL128+AK127</f>
        <v>158</v>
      </c>
      <c r="AM127" s="188">
        <f t="shared" si="32"/>
        <v>-7615600</v>
      </c>
      <c r="AN127" s="149" t="s">
        <v>4637</v>
      </c>
    </row>
    <row r="128" spans="6:46">
      <c r="G128" s="99"/>
      <c r="H128" s="99"/>
      <c r="I128" s="99" t="s">
        <v>5127</v>
      </c>
      <c r="J128" s="1">
        <v>20000000</v>
      </c>
      <c r="K128" s="265" t="s">
        <v>1086</v>
      </c>
      <c r="L128" s="169">
        <v>1100000</v>
      </c>
      <c r="M128" s="169">
        <v>3400000</v>
      </c>
      <c r="N128" s="168">
        <f t="shared" si="30"/>
        <v>209.09090909090909</v>
      </c>
      <c r="P128" s="114"/>
      <c r="Q128" s="169">
        <v>5896463</v>
      </c>
      <c r="R128" s="213" t="s">
        <v>5041</v>
      </c>
      <c r="S128" s="213">
        <f>S127-4</f>
        <v>22</v>
      </c>
      <c r="T128" s="213" t="s">
        <v>5042</v>
      </c>
      <c r="U128" s="213">
        <v>197.4</v>
      </c>
      <c r="V128" s="99">
        <f t="shared" si="34"/>
        <v>203.73194301369867</v>
      </c>
      <c r="W128" s="32">
        <f t="shared" si="28"/>
        <v>207.80658187397265</v>
      </c>
      <c r="X128" s="32">
        <f t="shared" si="29"/>
        <v>211.88122073424663</v>
      </c>
      <c r="AH128" s="89">
        <v>108</v>
      </c>
      <c r="AI128" s="90" t="s">
        <v>4628</v>
      </c>
      <c r="AJ128" s="90">
        <v>39327293</v>
      </c>
      <c r="AK128" s="89">
        <v>4</v>
      </c>
      <c r="AL128" s="149">
        <f t="shared" si="35"/>
        <v>158</v>
      </c>
      <c r="AM128" s="188">
        <f t="shared" si="32"/>
        <v>6213712294</v>
      </c>
      <c r="AN128" s="89" t="s">
        <v>4638</v>
      </c>
    </row>
    <row r="129" spans="7:43">
      <c r="G129" s="1">
        <f>P52</f>
        <v>229.1</v>
      </c>
      <c r="H129" s="99" t="s">
        <v>4242</v>
      </c>
      <c r="I129" s="99">
        <v>45000</v>
      </c>
      <c r="J129" s="1">
        <f>G129*I129</f>
        <v>10309500</v>
      </c>
      <c r="K129" s="243" t="s">
        <v>4566</v>
      </c>
      <c r="Q129" s="169">
        <v>1499873</v>
      </c>
      <c r="R129" s="213" t="s">
        <v>5056</v>
      </c>
      <c r="S129" s="213">
        <f>S128-8</f>
        <v>14</v>
      </c>
      <c r="T129" s="213" t="s">
        <v>5060</v>
      </c>
      <c r="U129" s="213">
        <v>200.1</v>
      </c>
      <c r="V129" s="99">
        <f t="shared" si="34"/>
        <v>205.29053917808224</v>
      </c>
      <c r="W129" s="32">
        <f t="shared" si="28"/>
        <v>209.39634996164389</v>
      </c>
      <c r="X129" s="32">
        <f t="shared" si="29"/>
        <v>213.50216074520554</v>
      </c>
      <c r="Y129" t="s">
        <v>25</v>
      </c>
      <c r="AH129" s="89">
        <v>109</v>
      </c>
      <c r="AI129" s="90" t="s">
        <v>4652</v>
      </c>
      <c r="AJ129" s="90">
        <v>8749050</v>
      </c>
      <c r="AK129" s="89">
        <v>1</v>
      </c>
      <c r="AL129" s="89">
        <f t="shared" si="35"/>
        <v>154</v>
      </c>
      <c r="AM129" s="90">
        <f t="shared" si="32"/>
        <v>1347353700</v>
      </c>
      <c r="AN129" s="89" t="s">
        <v>4654</v>
      </c>
    </row>
    <row r="130" spans="7:43">
      <c r="G130" s="1">
        <f>P47</f>
        <v>4578</v>
      </c>
      <c r="H130" s="99" t="s">
        <v>4389</v>
      </c>
      <c r="I130" s="99">
        <v>2199</v>
      </c>
      <c r="J130" s="1">
        <f>G130*I130</f>
        <v>10067022</v>
      </c>
      <c r="K130" s="243" t="s">
        <v>4567</v>
      </c>
      <c r="Q130" s="169">
        <v>25141103</v>
      </c>
      <c r="R130" s="213" t="s">
        <v>5082</v>
      </c>
      <c r="S130" s="213">
        <f>S129-7</f>
        <v>7</v>
      </c>
      <c r="T130" s="213" t="s">
        <v>5086</v>
      </c>
      <c r="U130" s="213">
        <v>211.3</v>
      </c>
      <c r="V130" s="99">
        <f t="shared" si="34"/>
        <v>215.64641205479455</v>
      </c>
      <c r="W130" s="32">
        <f t="shared" si="28"/>
        <v>219.95934029589046</v>
      </c>
      <c r="X130" s="32">
        <f t="shared" si="29"/>
        <v>224.27226853698633</v>
      </c>
      <c r="Z130" t="s">
        <v>25</v>
      </c>
      <c r="AH130" s="99">
        <v>110</v>
      </c>
      <c r="AI130" s="113" t="s">
        <v>4656</v>
      </c>
      <c r="AJ130" s="113">
        <v>60000</v>
      </c>
      <c r="AK130" s="99">
        <v>1</v>
      </c>
      <c r="AL130" s="99">
        <f t="shared" si="35"/>
        <v>153</v>
      </c>
      <c r="AM130" s="117">
        <f t="shared" si="32"/>
        <v>9180000</v>
      </c>
      <c r="AN130" s="99" t="s">
        <v>4657</v>
      </c>
    </row>
    <row r="131" spans="7:43">
      <c r="G131" s="99"/>
      <c r="H131" s="99"/>
      <c r="I131" s="99"/>
      <c r="J131" s="99" t="s">
        <v>25</v>
      </c>
      <c r="K131" s="243" t="s">
        <v>4568</v>
      </c>
      <c r="Q131" s="169">
        <v>120581</v>
      </c>
      <c r="R131" s="213" t="s">
        <v>5087</v>
      </c>
      <c r="S131" s="213">
        <f>S130-1</f>
        <v>6</v>
      </c>
      <c r="T131" s="213" t="s">
        <v>5088</v>
      </c>
      <c r="U131" s="213">
        <v>210.2</v>
      </c>
      <c r="V131" s="99">
        <f t="shared" si="34"/>
        <v>214.36253589041095</v>
      </c>
      <c r="W131" s="32">
        <f t="shared" si="28"/>
        <v>218.64978660821919</v>
      </c>
      <c r="X131" s="32">
        <f t="shared" si="29"/>
        <v>222.93703732602739</v>
      </c>
      <c r="Y131" t="s">
        <v>25</v>
      </c>
      <c r="AH131" s="20">
        <v>111</v>
      </c>
      <c r="AI131" s="117" t="s">
        <v>4665</v>
      </c>
      <c r="AJ131" s="117">
        <v>4750000</v>
      </c>
      <c r="AK131" s="20">
        <v>0</v>
      </c>
      <c r="AL131" s="99">
        <f t="shared" si="35"/>
        <v>152</v>
      </c>
      <c r="AM131" s="117">
        <f t="shared" si="32"/>
        <v>722000000</v>
      </c>
      <c r="AN131" s="20"/>
      <c r="AQ131" t="s">
        <v>25</v>
      </c>
    </row>
    <row r="132" spans="7:43">
      <c r="G132" s="99"/>
      <c r="H132" s="99"/>
      <c r="I132" s="95">
        <f>J132-J128</f>
        <v>376522</v>
      </c>
      <c r="J132" s="1">
        <f>SUM(J129:J131)</f>
        <v>20376522</v>
      </c>
      <c r="Q132" s="169">
        <v>500951</v>
      </c>
      <c r="R132" s="213" t="s">
        <v>5087</v>
      </c>
      <c r="S132" s="213">
        <f>S131</f>
        <v>6</v>
      </c>
      <c r="T132" s="213" t="s">
        <v>5092</v>
      </c>
      <c r="U132" s="213">
        <v>209.6</v>
      </c>
      <c r="V132" s="99">
        <f t="shared" si="34"/>
        <v>213.75065424657535</v>
      </c>
      <c r="W132" s="32">
        <f t="shared" si="28"/>
        <v>218.02566733150687</v>
      </c>
      <c r="X132" s="32">
        <f t="shared" si="29"/>
        <v>222.30068041643838</v>
      </c>
      <c r="Y132" t="s">
        <v>25</v>
      </c>
      <c r="AH132" s="89">
        <v>112</v>
      </c>
      <c r="AI132" s="90" t="s">
        <v>4665</v>
      </c>
      <c r="AJ132" s="90">
        <v>13101160</v>
      </c>
      <c r="AK132" s="89">
        <v>1</v>
      </c>
      <c r="AL132" s="89">
        <f t="shared" si="35"/>
        <v>152</v>
      </c>
      <c r="AM132" s="90">
        <f t="shared" si="32"/>
        <v>1991376320</v>
      </c>
      <c r="AN132" s="89" t="s">
        <v>4668</v>
      </c>
    </row>
    <row r="133" spans="7:43">
      <c r="G133" s="99"/>
      <c r="H133" s="99"/>
      <c r="I133" s="99" t="s">
        <v>916</v>
      </c>
      <c r="J133" s="99" t="s">
        <v>6</v>
      </c>
      <c r="Q133" s="169">
        <v>493081</v>
      </c>
      <c r="R133" s="213" t="s">
        <v>5095</v>
      </c>
      <c r="S133" s="213">
        <f>S132-1</f>
        <v>5</v>
      </c>
      <c r="T133" s="213" t="s">
        <v>5097</v>
      </c>
      <c r="U133" s="213">
        <v>205.1</v>
      </c>
      <c r="V133" s="99">
        <f t="shared" si="34"/>
        <v>209.00420493150688</v>
      </c>
      <c r="W133" s="32">
        <f t="shared" si="28"/>
        <v>213.18428903013702</v>
      </c>
      <c r="X133" s="32">
        <f t="shared" si="29"/>
        <v>217.36437312876717</v>
      </c>
      <c r="AH133" s="20">
        <v>113</v>
      </c>
      <c r="AI133" s="117" t="s">
        <v>4667</v>
      </c>
      <c r="AJ133" s="117">
        <v>-980000</v>
      </c>
      <c r="AK133" s="20">
        <v>0</v>
      </c>
      <c r="AL133" s="99">
        <f t="shared" si="35"/>
        <v>151</v>
      </c>
      <c r="AM133" s="117">
        <f t="shared" si="32"/>
        <v>-147980000</v>
      </c>
      <c r="AN133" s="20"/>
    </row>
    <row r="134" spans="7:43">
      <c r="Q134" s="169">
        <v>43287917</v>
      </c>
      <c r="R134" s="213" t="s">
        <v>5099</v>
      </c>
      <c r="S134" s="213">
        <f>S133-3</f>
        <v>2</v>
      </c>
      <c r="T134" s="213" t="s">
        <v>5132</v>
      </c>
      <c r="U134" s="213">
        <v>203.6</v>
      </c>
      <c r="V134" s="99">
        <f t="shared" si="34"/>
        <v>207.00709260273976</v>
      </c>
      <c r="W134" s="32">
        <f t="shared" si="28"/>
        <v>211.14723445479456</v>
      </c>
      <c r="X134" s="32">
        <f t="shared" si="29"/>
        <v>215.28737630684935</v>
      </c>
      <c r="Y134" t="s">
        <v>25</v>
      </c>
      <c r="AH134" s="89">
        <v>114</v>
      </c>
      <c r="AI134" s="90" t="s">
        <v>4667</v>
      </c>
      <c r="AJ134" s="90">
        <v>13301790</v>
      </c>
      <c r="AK134" s="89">
        <v>0</v>
      </c>
      <c r="AL134" s="89">
        <f t="shared" si="35"/>
        <v>151</v>
      </c>
      <c r="AM134" s="90">
        <f t="shared" si="32"/>
        <v>2008570290</v>
      </c>
      <c r="AN134" s="89" t="s">
        <v>4668</v>
      </c>
      <c r="AQ134" t="s">
        <v>25</v>
      </c>
    </row>
    <row r="135" spans="7:43">
      <c r="G135" s="99"/>
      <c r="H135" s="99"/>
      <c r="I135" s="99" t="s">
        <v>5126</v>
      </c>
      <c r="J135" s="1">
        <v>9795000</v>
      </c>
      <c r="Q135" s="169">
        <v>155246</v>
      </c>
      <c r="R135" s="213" t="s">
        <v>5101</v>
      </c>
      <c r="S135" s="213">
        <f>S134-1</f>
        <v>1</v>
      </c>
      <c r="T135" s="213" t="s">
        <v>5107</v>
      </c>
      <c r="U135" s="213">
        <v>510</v>
      </c>
      <c r="V135" s="99">
        <f t="shared" si="34"/>
        <v>518.14323287671232</v>
      </c>
      <c r="W135" s="32">
        <f t="shared" si="28"/>
        <v>528.50609753424658</v>
      </c>
      <c r="X135" s="32">
        <f t="shared" si="29"/>
        <v>538.86896219178084</v>
      </c>
      <c r="AH135" s="20">
        <v>115</v>
      </c>
      <c r="AI135" s="117" t="s">
        <v>4667</v>
      </c>
      <c r="AJ135" s="117">
        <v>404000</v>
      </c>
      <c r="AK135" s="20">
        <v>5</v>
      </c>
      <c r="AL135" s="99">
        <f t="shared" si="35"/>
        <v>151</v>
      </c>
      <c r="AM135" s="117">
        <f t="shared" si="32"/>
        <v>61004000</v>
      </c>
      <c r="AN135" s="20" t="s">
        <v>4675</v>
      </c>
    </row>
    <row r="136" spans="7:43">
      <c r="G136" s="1">
        <f>P52</f>
        <v>229.1</v>
      </c>
      <c r="H136" s="99" t="s">
        <v>4242</v>
      </c>
      <c r="I136" s="99">
        <v>46582</v>
      </c>
      <c r="J136" s="1">
        <f>G136*I136</f>
        <v>10671936.199999999</v>
      </c>
      <c r="Q136" s="169">
        <v>1324302</v>
      </c>
      <c r="R136" s="213" t="s">
        <v>5109</v>
      </c>
      <c r="S136" s="213">
        <f>S135-1</f>
        <v>0</v>
      </c>
      <c r="T136" s="213" t="s">
        <v>5114</v>
      </c>
      <c r="U136" s="213">
        <v>821.3</v>
      </c>
      <c r="V136" s="99">
        <f t="shared" si="34"/>
        <v>833.78376000000003</v>
      </c>
      <c r="W136" s="32">
        <f t="shared" si="28"/>
        <v>850.45943520000003</v>
      </c>
      <c r="X136" s="32">
        <f t="shared" si="29"/>
        <v>867.13511040000003</v>
      </c>
      <c r="Y136" t="s">
        <v>25</v>
      </c>
      <c r="AH136" s="89">
        <v>116</v>
      </c>
      <c r="AI136" s="90" t="s">
        <v>4691</v>
      </c>
      <c r="AJ136" s="90">
        <v>4291628</v>
      </c>
      <c r="AK136" s="89">
        <v>2</v>
      </c>
      <c r="AL136" s="89">
        <f t="shared" si="35"/>
        <v>146</v>
      </c>
      <c r="AM136" s="90">
        <f t="shared" si="32"/>
        <v>626577688</v>
      </c>
      <c r="AN136" s="89" t="s">
        <v>4693</v>
      </c>
    </row>
    <row r="137" spans="7:43">
      <c r="G137" s="99"/>
      <c r="H137" s="99"/>
      <c r="I137" s="99"/>
      <c r="J137" s="99"/>
      <c r="M137">
        <v>236</v>
      </c>
      <c r="N137">
        <v>3</v>
      </c>
      <c r="O137">
        <f>M137*N137</f>
        <v>708</v>
      </c>
      <c r="Q137" s="169">
        <v>104673</v>
      </c>
      <c r="R137" s="213" t="s">
        <v>5117</v>
      </c>
      <c r="S137" s="213">
        <f>S136-2</f>
        <v>-2</v>
      </c>
      <c r="T137" s="213" t="s">
        <v>5121</v>
      </c>
      <c r="U137" s="213">
        <v>4530</v>
      </c>
      <c r="V137" s="99">
        <f t="shared" si="34"/>
        <v>4591.9058630136988</v>
      </c>
      <c r="W137" s="32">
        <f t="shared" si="28"/>
        <v>4683.7439802739727</v>
      </c>
      <c r="X137" s="32">
        <f t="shared" si="29"/>
        <v>4775.5820975342467</v>
      </c>
      <c r="Z137" t="s">
        <v>25</v>
      </c>
      <c r="AH137" s="20">
        <v>117</v>
      </c>
      <c r="AI137" s="117" t="s">
        <v>4695</v>
      </c>
      <c r="AJ137" s="117">
        <v>1000</v>
      </c>
      <c r="AK137" s="20">
        <v>5</v>
      </c>
      <c r="AL137" s="20">
        <f t="shared" si="35"/>
        <v>144</v>
      </c>
      <c r="AM137" s="117">
        <f t="shared" si="32"/>
        <v>144000</v>
      </c>
      <c r="AN137" s="20"/>
    </row>
    <row r="138" spans="7:43">
      <c r="G138" s="99"/>
      <c r="H138" s="99"/>
      <c r="I138" s="1">
        <f>J138-J135</f>
        <v>876936.19999999925</v>
      </c>
      <c r="J138" s="1">
        <f>SUM(J136:J137)</f>
        <v>10671936.199999999</v>
      </c>
      <c r="K138" t="s">
        <v>25</v>
      </c>
      <c r="M138">
        <v>126</v>
      </c>
      <c r="N138">
        <v>1</v>
      </c>
      <c r="O138">
        <f>M138*N138</f>
        <v>126</v>
      </c>
      <c r="Q138" s="169">
        <v>3195995</v>
      </c>
      <c r="R138" s="213" t="s">
        <v>5140</v>
      </c>
      <c r="S138" s="213">
        <f>S137-7</f>
        <v>-9</v>
      </c>
      <c r="T138" s="213" t="s">
        <v>5141</v>
      </c>
      <c r="U138" s="213">
        <v>228</v>
      </c>
      <c r="V138" s="99">
        <f t="shared" si="34"/>
        <v>229.89146301369863</v>
      </c>
      <c r="W138" s="32">
        <f t="shared" si="28"/>
        <v>234.48929227397261</v>
      </c>
      <c r="X138" s="32">
        <f t="shared" si="29"/>
        <v>239.08712153424659</v>
      </c>
      <c r="Y138" t="s">
        <v>25</v>
      </c>
      <c r="AH138" s="121">
        <v>118</v>
      </c>
      <c r="AI138" s="79" t="s">
        <v>4703</v>
      </c>
      <c r="AJ138" s="79">
        <v>8739459</v>
      </c>
      <c r="AK138" s="121">
        <v>2</v>
      </c>
      <c r="AL138" s="121">
        <f t="shared" si="35"/>
        <v>139</v>
      </c>
      <c r="AM138" s="79">
        <f t="shared" si="32"/>
        <v>1214784801</v>
      </c>
      <c r="AN138" s="121" t="s">
        <v>4654</v>
      </c>
    </row>
    <row r="139" spans="7:43">
      <c r="G139" s="99"/>
      <c r="H139" s="99"/>
      <c r="I139" s="99" t="s">
        <v>916</v>
      </c>
      <c r="J139" s="99" t="s">
        <v>6</v>
      </c>
      <c r="L139">
        <v>821</v>
      </c>
      <c r="M139">
        <v>590</v>
      </c>
      <c r="N139">
        <v>0</v>
      </c>
      <c r="O139" s="96">
        <f>M139*N139</f>
        <v>0</v>
      </c>
      <c r="Q139" s="169">
        <v>55208153</v>
      </c>
      <c r="R139" s="213" t="s">
        <v>5140</v>
      </c>
      <c r="S139" s="213">
        <f>S138</f>
        <v>-9</v>
      </c>
      <c r="T139" s="213" t="s">
        <v>5142</v>
      </c>
      <c r="U139" s="213">
        <v>709</v>
      </c>
      <c r="V139" s="99">
        <f t="shared" si="34"/>
        <v>714.88178630136986</v>
      </c>
      <c r="W139" s="32">
        <f t="shared" si="28"/>
        <v>729.17942202739732</v>
      </c>
      <c r="X139" s="32">
        <f t="shared" si="29"/>
        <v>743.47705775342467</v>
      </c>
      <c r="AH139" s="121">
        <v>119</v>
      </c>
      <c r="AI139" s="79" t="s">
        <v>4704</v>
      </c>
      <c r="AJ139" s="79">
        <v>17595278</v>
      </c>
      <c r="AK139" s="121">
        <v>1</v>
      </c>
      <c r="AL139" s="121">
        <f t="shared" si="35"/>
        <v>137</v>
      </c>
      <c r="AM139" s="79">
        <f t="shared" si="32"/>
        <v>2410553086</v>
      </c>
      <c r="AN139" s="121" t="s">
        <v>4706</v>
      </c>
      <c r="AQ139" t="s">
        <v>25</v>
      </c>
    </row>
    <row r="140" spans="7:43">
      <c r="Q140" s="169">
        <v>29111</v>
      </c>
      <c r="R140" s="213" t="s">
        <v>5140</v>
      </c>
      <c r="S140" s="213">
        <f>S139</f>
        <v>-9</v>
      </c>
      <c r="T140" s="213" t="s">
        <v>5145</v>
      </c>
      <c r="U140" s="213">
        <v>315</v>
      </c>
      <c r="V140" s="99">
        <f t="shared" si="34"/>
        <v>317.61320547945206</v>
      </c>
      <c r="W140" s="32">
        <f t="shared" si="28"/>
        <v>323.96546958904111</v>
      </c>
      <c r="X140" s="32">
        <f t="shared" si="29"/>
        <v>330.31773369863015</v>
      </c>
      <c r="AH140" s="121">
        <v>120</v>
      </c>
      <c r="AI140" s="79" t="s">
        <v>4705</v>
      </c>
      <c r="AJ140" s="79">
        <v>13335309</v>
      </c>
      <c r="AK140" s="121">
        <v>13</v>
      </c>
      <c r="AL140" s="121">
        <f t="shared" si="35"/>
        <v>136</v>
      </c>
      <c r="AM140" s="79">
        <f t="shared" si="32"/>
        <v>1813602024</v>
      </c>
      <c r="AN140" s="121" t="s">
        <v>4668</v>
      </c>
    </row>
    <row r="141" spans="7:43">
      <c r="O141">
        <f>O137+O138+O139</f>
        <v>834</v>
      </c>
      <c r="Q141" s="169"/>
      <c r="R141" s="168"/>
      <c r="S141" s="168"/>
      <c r="T141" s="168"/>
      <c r="U141" s="168"/>
      <c r="V141" s="99">
        <f t="shared" si="34"/>
        <v>0</v>
      </c>
      <c r="W141" s="32">
        <f t="shared" si="28"/>
        <v>0</v>
      </c>
      <c r="X141" s="32">
        <f t="shared" si="29"/>
        <v>0</v>
      </c>
      <c r="Y141" t="s">
        <v>25</v>
      </c>
      <c r="AA141" t="s">
        <v>25</v>
      </c>
      <c r="AH141" s="161">
        <v>121</v>
      </c>
      <c r="AI141" s="228" t="s">
        <v>4761</v>
      </c>
      <c r="AJ141" s="228">
        <v>50000000</v>
      </c>
      <c r="AK141" s="161">
        <v>11</v>
      </c>
      <c r="AL141" s="161">
        <f t="shared" si="35"/>
        <v>123</v>
      </c>
      <c r="AM141" s="228">
        <f t="shared" si="32"/>
        <v>6150000000</v>
      </c>
      <c r="AN141" s="161" t="s">
        <v>4763</v>
      </c>
      <c r="AP141" t="s">
        <v>25</v>
      </c>
    </row>
    <row r="142" spans="7:43">
      <c r="Q142" s="113">
        <f>SUM(N46:N53)-SUM(Q93:Q141)</f>
        <v>117394940.29999995</v>
      </c>
      <c r="R142" s="112"/>
      <c r="S142" s="112"/>
      <c r="T142" s="112"/>
      <c r="U142" s="168"/>
      <c r="V142" s="99" t="s">
        <v>25</v>
      </c>
      <c r="W142" s="32"/>
      <c r="X142" s="32"/>
      <c r="Y142" t="s">
        <v>25</v>
      </c>
      <c r="AH142" s="20">
        <v>122</v>
      </c>
      <c r="AI142" s="117" t="s">
        <v>974</v>
      </c>
      <c r="AJ142" s="117">
        <v>30000</v>
      </c>
      <c r="AK142" s="20">
        <v>3</v>
      </c>
      <c r="AL142" s="20">
        <f t="shared" si="35"/>
        <v>112</v>
      </c>
      <c r="AM142" s="117">
        <f t="shared" si="32"/>
        <v>3360000</v>
      </c>
      <c r="AN142" s="20"/>
    </row>
    <row r="143" spans="7:43">
      <c r="Q143" s="26"/>
      <c r="R143" s="181"/>
      <c r="S143" s="181"/>
      <c r="T143" t="s">
        <v>25</v>
      </c>
      <c r="U143" s="96" t="s">
        <v>25</v>
      </c>
      <c r="V143" s="96" t="s">
        <v>25</v>
      </c>
      <c r="W143" s="96" t="s">
        <v>25</v>
      </c>
      <c r="Y143" t="s">
        <v>25</v>
      </c>
      <c r="AH143" s="20">
        <v>123</v>
      </c>
      <c r="AI143" s="117" t="s">
        <v>4827</v>
      </c>
      <c r="AJ143" s="117">
        <v>600000</v>
      </c>
      <c r="AK143" s="20">
        <v>1</v>
      </c>
      <c r="AL143" s="20">
        <f t="shared" si="35"/>
        <v>109</v>
      </c>
      <c r="AM143" s="117">
        <f t="shared" si="32"/>
        <v>65400000</v>
      </c>
      <c r="AN143" s="20"/>
    </row>
    <row r="144" spans="7:43">
      <c r="R144" s="32" t="s">
        <v>4570</v>
      </c>
      <c r="S144" s="32" t="s">
        <v>950</v>
      </c>
      <c r="T144" t="s">
        <v>25</v>
      </c>
      <c r="U144" s="96" t="s">
        <v>25</v>
      </c>
      <c r="V144" s="96" t="s">
        <v>25</v>
      </c>
      <c r="W144" s="96" t="s">
        <v>25</v>
      </c>
      <c r="X144" s="122" t="s">
        <v>25</v>
      </c>
      <c r="Y144" t="s">
        <v>25</v>
      </c>
      <c r="AH144" s="20">
        <v>124</v>
      </c>
      <c r="AI144" s="117" t="s">
        <v>4834</v>
      </c>
      <c r="AJ144" s="117">
        <v>30000</v>
      </c>
      <c r="AK144" s="20">
        <v>3</v>
      </c>
      <c r="AL144" s="20">
        <f t="shared" si="35"/>
        <v>108</v>
      </c>
      <c r="AM144" s="117">
        <f t="shared" si="32"/>
        <v>3240000</v>
      </c>
      <c r="AN144" s="20"/>
    </row>
    <row r="145" spans="6:44">
      <c r="R145" s="32">
        <v>232104</v>
      </c>
      <c r="S145" s="234">
        <v>48637534</v>
      </c>
      <c r="U145" s="96" t="s">
        <v>25</v>
      </c>
      <c r="V145" s="122" t="s">
        <v>25</v>
      </c>
      <c r="W145" s="96" t="s">
        <v>25</v>
      </c>
      <c r="X145" t="s">
        <v>25</v>
      </c>
      <c r="AH145" s="20">
        <v>125</v>
      </c>
      <c r="AI145" s="117" t="s">
        <v>4841</v>
      </c>
      <c r="AJ145" s="117">
        <v>2250000</v>
      </c>
      <c r="AK145" s="20">
        <v>1</v>
      </c>
      <c r="AL145" s="20">
        <f t="shared" si="35"/>
        <v>105</v>
      </c>
      <c r="AM145" s="117">
        <f t="shared" ref="AM145:AM147" si="36">AJ145*AL145</f>
        <v>236250000</v>
      </c>
      <c r="AN145" s="20"/>
      <c r="AR145" t="s">
        <v>25</v>
      </c>
    </row>
    <row r="146" spans="6:44">
      <c r="P146" s="114"/>
      <c r="Q146" t="s">
        <v>25</v>
      </c>
      <c r="R146" s="32">
        <v>25529</v>
      </c>
      <c r="S146" s="1">
        <f>S145*R146/R145</f>
        <v>5349617.4365198361</v>
      </c>
      <c r="U146" s="96" t="s">
        <v>25</v>
      </c>
      <c r="V146" s="122" t="s">
        <v>25</v>
      </c>
      <c r="W146" s="96" t="s">
        <v>25</v>
      </c>
      <c r="X146" t="s">
        <v>25</v>
      </c>
      <c r="AH146" s="23">
        <v>126</v>
      </c>
      <c r="AI146" s="35" t="s">
        <v>4846</v>
      </c>
      <c r="AJ146" s="35">
        <v>-31412200</v>
      </c>
      <c r="AK146" s="23">
        <v>1</v>
      </c>
      <c r="AL146" s="20">
        <f t="shared" si="35"/>
        <v>104</v>
      </c>
      <c r="AM146" s="35">
        <f t="shared" si="36"/>
        <v>-3266868800</v>
      </c>
      <c r="AN146" s="23" t="s">
        <v>4829</v>
      </c>
    </row>
    <row r="147" spans="6:44">
      <c r="R147" s="32">
        <f>R145-R146</f>
        <v>206575</v>
      </c>
      <c r="S147" s="1">
        <f>R147*S145/R145</f>
        <v>43287916.563480161</v>
      </c>
      <c r="T147" t="s">
        <v>25</v>
      </c>
      <c r="U147" s="122" t="s">
        <v>25</v>
      </c>
      <c r="V147" s="96"/>
      <c r="W147"/>
      <c r="X147" t="s">
        <v>25</v>
      </c>
      <c r="Z147" s="96"/>
      <c r="AH147" s="20">
        <v>127</v>
      </c>
      <c r="AI147" s="117" t="s">
        <v>4855</v>
      </c>
      <c r="AJ147" s="117">
        <v>70000</v>
      </c>
      <c r="AK147" s="20">
        <v>9</v>
      </c>
      <c r="AL147" s="20">
        <f t="shared" si="35"/>
        <v>103</v>
      </c>
      <c r="AM147" s="117">
        <f t="shared" si="36"/>
        <v>7210000</v>
      </c>
      <c r="AN147" s="20"/>
    </row>
    <row r="148" spans="6:44">
      <c r="F148" t="s">
        <v>4830</v>
      </c>
      <c r="G148">
        <v>1200</v>
      </c>
      <c r="H148" t="s">
        <v>4831</v>
      </c>
      <c r="V148" s="96"/>
      <c r="W148"/>
      <c r="X148" t="s">
        <v>25</v>
      </c>
      <c r="Z148" s="96"/>
      <c r="AH148" s="99">
        <v>128</v>
      </c>
      <c r="AI148" s="113" t="s">
        <v>4864</v>
      </c>
      <c r="AJ148" s="113">
        <v>20000</v>
      </c>
      <c r="AK148" s="99">
        <v>10</v>
      </c>
      <c r="AL148" s="20">
        <f t="shared" si="35"/>
        <v>94</v>
      </c>
      <c r="AM148" s="117">
        <f t="shared" ref="AM148:AM149" si="37">AJ148*AL148</f>
        <v>1880000</v>
      </c>
      <c r="AN148" s="20"/>
      <c r="AP148" t="s">
        <v>25</v>
      </c>
    </row>
    <row r="149" spans="6:44">
      <c r="G149">
        <v>1350</v>
      </c>
      <c r="H149" t="s">
        <v>4832</v>
      </c>
      <c r="Q149" s="99" t="s">
        <v>4460</v>
      </c>
      <c r="R149" s="99" t="s">
        <v>4462</v>
      </c>
      <c r="S149" s="99"/>
      <c r="T149" s="99" t="s">
        <v>4463</v>
      </c>
      <c r="U149" s="99"/>
      <c r="V149" s="99"/>
      <c r="W149" s="99" t="s">
        <v>4573</v>
      </c>
      <c r="Z149" s="96"/>
      <c r="AH149" s="99">
        <v>129</v>
      </c>
      <c r="AI149" s="113" t="s">
        <v>4885</v>
      </c>
      <c r="AJ149" s="113">
        <v>1000000</v>
      </c>
      <c r="AK149" s="99">
        <v>1</v>
      </c>
      <c r="AL149" s="20">
        <f t="shared" si="35"/>
        <v>84</v>
      </c>
      <c r="AM149" s="117">
        <f t="shared" si="37"/>
        <v>84000000</v>
      </c>
      <c r="AN149" s="20"/>
    </row>
    <row r="150" spans="6:44">
      <c r="G150">
        <v>1050</v>
      </c>
      <c r="H150" t="s">
        <v>4833</v>
      </c>
      <c r="Q150" s="113">
        <v>1000</v>
      </c>
      <c r="R150" s="99">
        <v>0.25</v>
      </c>
      <c r="S150" s="99"/>
      <c r="T150" s="99">
        <f>1-R150</f>
        <v>0.75</v>
      </c>
      <c r="U150" s="99"/>
      <c r="V150" s="99"/>
      <c r="W150" s="99"/>
      <c r="Z150" s="96"/>
      <c r="AA150" s="114"/>
      <c r="AC150" s="114"/>
      <c r="AD150" s="114"/>
      <c r="AH150" s="99">
        <v>130</v>
      </c>
      <c r="AI150" s="113" t="s">
        <v>4886</v>
      </c>
      <c r="AJ150" s="113">
        <v>65630227</v>
      </c>
      <c r="AK150" s="99">
        <v>0</v>
      </c>
      <c r="AL150" s="20">
        <f t="shared" si="35"/>
        <v>83</v>
      </c>
      <c r="AM150" s="117">
        <f t="shared" ref="AM150:AM179" si="38">AJ150*AL150</f>
        <v>5447308841</v>
      </c>
      <c r="AN150" s="20" t="s">
        <v>4890</v>
      </c>
      <c r="AP150" t="s">
        <v>25</v>
      </c>
      <c r="AR150" t="s">
        <v>25</v>
      </c>
    </row>
    <row r="151" spans="6:44">
      <c r="Q151" s="168" t="s">
        <v>4447</v>
      </c>
      <c r="R151" s="168" t="s">
        <v>4465</v>
      </c>
      <c r="S151" s="168" t="s">
        <v>4467</v>
      </c>
      <c r="T151" s="168"/>
      <c r="U151" s="168" t="s">
        <v>4461</v>
      </c>
      <c r="V151" s="56" t="s">
        <v>4464</v>
      </c>
      <c r="W151" s="99"/>
      <c r="X151" s="115"/>
      <c r="Z151" s="96"/>
      <c r="AA151" s="114"/>
      <c r="AC151" s="114"/>
      <c r="AH151" s="99">
        <v>131</v>
      </c>
      <c r="AI151" s="113" t="s">
        <v>4886</v>
      </c>
      <c r="AJ151" s="113">
        <v>-3500000</v>
      </c>
      <c r="AK151" s="99">
        <v>6</v>
      </c>
      <c r="AL151" s="20">
        <f t="shared" si="35"/>
        <v>83</v>
      </c>
      <c r="AM151" s="117">
        <f t="shared" si="38"/>
        <v>-290500000</v>
      </c>
      <c r="AN151" s="20" t="s">
        <v>4889</v>
      </c>
    </row>
    <row r="152" spans="6:44">
      <c r="Q152" s="168" t="s">
        <v>751</v>
      </c>
      <c r="R152" s="56">
        <v>1748044</v>
      </c>
      <c r="S152" s="113">
        <f>R152*$T$256</f>
        <v>651229696.58483195</v>
      </c>
      <c r="T152" s="168"/>
      <c r="U152" s="168">
        <f>$Q$150*$T$150*S152/$R$179</f>
        <v>358.57459928040731</v>
      </c>
      <c r="V152" s="95">
        <f>S152+U152</f>
        <v>651230055.15943122</v>
      </c>
      <c r="W152" s="99">
        <f>R152*100/U253</f>
        <v>47.809946570720975</v>
      </c>
      <c r="X152" s="217"/>
      <c r="Z152" s="96"/>
      <c r="AA152" s="114"/>
      <c r="AC152" s="114"/>
      <c r="AD152" s="114"/>
      <c r="AH152" s="99">
        <v>132</v>
      </c>
      <c r="AI152" s="113" t="s">
        <v>4901</v>
      </c>
      <c r="AJ152" s="113">
        <v>2520000</v>
      </c>
      <c r="AK152" s="99">
        <v>12</v>
      </c>
      <c r="AL152" s="20">
        <f t="shared" si="35"/>
        <v>77</v>
      </c>
      <c r="AM152" s="117">
        <f t="shared" si="38"/>
        <v>194040000</v>
      </c>
      <c r="AN152" s="20"/>
    </row>
    <row r="153" spans="6:44">
      <c r="P153">
        <f>R153+30</f>
        <v>1658427</v>
      </c>
      <c r="Q153" s="168" t="s">
        <v>4449</v>
      </c>
      <c r="R153" s="56">
        <v>1658397</v>
      </c>
      <c r="S153" s="113">
        <f>R153*$T$256</f>
        <v>617831916.7750901</v>
      </c>
      <c r="T153" s="168"/>
      <c r="U153" s="213">
        <f>$Q$150*$T$150*S153/$R$179</f>
        <v>340.18539563239233</v>
      </c>
      <c r="V153" s="95">
        <f t="shared" ref="V153:V154" si="39">S153+U153</f>
        <v>617832256.9604857</v>
      </c>
      <c r="W153" s="99">
        <f>R153*100/U253</f>
        <v>45.358052750985642</v>
      </c>
      <c r="X153" s="115"/>
      <c r="Y153" s="96"/>
      <c r="Z153" s="96"/>
      <c r="AH153" s="99">
        <v>133</v>
      </c>
      <c r="AI153" s="113" t="s">
        <v>4938</v>
      </c>
      <c r="AJ153" s="113">
        <v>1400000</v>
      </c>
      <c r="AK153" s="99">
        <v>4</v>
      </c>
      <c r="AL153" s="20">
        <f t="shared" si="35"/>
        <v>65</v>
      </c>
      <c r="AM153" s="117">
        <f t="shared" si="38"/>
        <v>91000000</v>
      </c>
      <c r="AN153" s="20"/>
    </row>
    <row r="154" spans="6:44">
      <c r="Q154" s="168" t="s">
        <v>4448</v>
      </c>
      <c r="R154" s="56">
        <v>52617</v>
      </c>
      <c r="S154" s="113">
        <f>R154*$T$256</f>
        <v>19602340.069931939</v>
      </c>
      <c r="T154" s="168"/>
      <c r="U154" s="213">
        <f>$Q$150*$T$150*S154/$R$179</f>
        <v>10.793275049333536</v>
      </c>
      <c r="V154" s="95">
        <f t="shared" si="39"/>
        <v>19602350.86320699</v>
      </c>
      <c r="W154" s="99">
        <f>R154*100/U253</f>
        <v>1.4391033399111381</v>
      </c>
      <c r="X154" s="115"/>
      <c r="Y154" s="96"/>
      <c r="Z154" s="96"/>
      <c r="AH154" s="99">
        <v>134</v>
      </c>
      <c r="AI154" s="113" t="s">
        <v>4965</v>
      </c>
      <c r="AJ154" s="113">
        <v>1550000</v>
      </c>
      <c r="AK154" s="99">
        <v>2</v>
      </c>
      <c r="AL154" s="20">
        <f t="shared" si="35"/>
        <v>61</v>
      </c>
      <c r="AM154" s="117">
        <f t="shared" si="38"/>
        <v>94550000</v>
      </c>
      <c r="AN154" s="20"/>
    </row>
    <row r="155" spans="6:44">
      <c r="Q155" s="168" t="s">
        <v>1087</v>
      </c>
      <c r="R155" s="56">
        <v>197177</v>
      </c>
      <c r="S155" s="113">
        <f>R155*$T$256</f>
        <v>73457829.370145962</v>
      </c>
      <c r="T155" s="168"/>
      <c r="U155" s="213">
        <f>$Q$150*$T$150*S155/$R$179</f>
        <v>40.446730037866828</v>
      </c>
      <c r="V155" s="95">
        <f>S155+U155</f>
        <v>73457869.816875994</v>
      </c>
      <c r="W155" s="99">
        <f>R155*100/U253</f>
        <v>5.3928973383822427</v>
      </c>
      <c r="X155" s="115"/>
      <c r="Y155" s="96"/>
      <c r="Z155" s="96"/>
      <c r="AH155" s="99">
        <v>135</v>
      </c>
      <c r="AI155" s="113" t="s">
        <v>4910</v>
      </c>
      <c r="AJ155" s="113">
        <v>250000</v>
      </c>
      <c r="AK155" s="99">
        <v>6</v>
      </c>
      <c r="AL155" s="20">
        <f t="shared" si="35"/>
        <v>59</v>
      </c>
      <c r="AM155" s="117">
        <f t="shared" si="38"/>
        <v>14750000</v>
      </c>
      <c r="AN155" s="20"/>
    </row>
    <row r="156" spans="6:44">
      <c r="Q156" s="168"/>
      <c r="R156" s="56"/>
      <c r="S156" s="168"/>
      <c r="T156" s="168"/>
      <c r="U156" s="168"/>
      <c r="V156" s="168"/>
      <c r="W156" s="99"/>
      <c r="X156" s="96"/>
      <c r="Y156" s="96"/>
      <c r="Z156" s="96"/>
      <c r="AH156" s="99">
        <v>136</v>
      </c>
      <c r="AI156" s="113" t="s">
        <v>4975</v>
      </c>
      <c r="AJ156" s="113">
        <v>-48527480</v>
      </c>
      <c r="AK156" s="99">
        <v>14</v>
      </c>
      <c r="AL156" s="20">
        <f t="shared" si="35"/>
        <v>53</v>
      </c>
      <c r="AM156" s="117">
        <f t="shared" si="38"/>
        <v>-2571956440</v>
      </c>
      <c r="AN156" s="20" t="s">
        <v>4977</v>
      </c>
    </row>
    <row r="157" spans="6:44">
      <c r="Q157" s="168"/>
      <c r="R157" s="168"/>
      <c r="S157" s="168"/>
      <c r="T157" s="168"/>
      <c r="U157" s="168"/>
      <c r="V157" s="168"/>
      <c r="W157" s="99"/>
      <c r="X157" s="96"/>
      <c r="Y157" s="96"/>
      <c r="Z157" s="96"/>
      <c r="AH157" s="99">
        <v>137</v>
      </c>
      <c r="AI157" s="113" t="s">
        <v>5007</v>
      </c>
      <c r="AJ157" s="113">
        <v>2100000</v>
      </c>
      <c r="AK157" s="99">
        <v>1</v>
      </c>
      <c r="AL157" s="20">
        <f t="shared" si="35"/>
        <v>39</v>
      </c>
      <c r="AM157" s="117">
        <f t="shared" si="38"/>
        <v>81900000</v>
      </c>
      <c r="AN157" s="20"/>
    </row>
    <row r="158" spans="6:44">
      <c r="Q158" s="99"/>
      <c r="R158" s="99"/>
      <c r="S158" s="99"/>
      <c r="T158" s="99" t="s">
        <v>25</v>
      </c>
      <c r="U158" s="99"/>
      <c r="V158" s="99"/>
      <c r="W158" s="99"/>
      <c r="X158" s="96"/>
      <c r="Y158" s="96"/>
      <c r="Z158" s="96"/>
      <c r="AH158" s="99">
        <v>138</v>
      </c>
      <c r="AI158" s="113" t="s">
        <v>5012</v>
      </c>
      <c r="AJ158" s="113">
        <v>100000</v>
      </c>
      <c r="AK158" s="99">
        <v>4</v>
      </c>
      <c r="AL158" s="20">
        <f>AL159+AK158</f>
        <v>38</v>
      </c>
      <c r="AM158" s="117">
        <f t="shared" si="38"/>
        <v>3800000</v>
      </c>
      <c r="AN158" s="20"/>
      <c r="AQ158" t="s">
        <v>25</v>
      </c>
    </row>
    <row r="159" spans="6:44">
      <c r="P159" s="114"/>
      <c r="Q159" s="99"/>
      <c r="R159" s="99"/>
      <c r="S159" s="99"/>
      <c r="T159" s="99"/>
      <c r="U159" s="99"/>
      <c r="V159" s="99"/>
      <c r="W159" s="99"/>
      <c r="X159" s="96"/>
      <c r="Y159" s="96"/>
      <c r="Z159" s="96"/>
      <c r="AH159" s="99">
        <v>139</v>
      </c>
      <c r="AI159" s="113" t="s">
        <v>5019</v>
      </c>
      <c r="AJ159" s="113">
        <v>900000</v>
      </c>
      <c r="AK159" s="99">
        <v>0</v>
      </c>
      <c r="AL159" s="20">
        <f t="shared" ref="AL159:AL168" si="40">AL160+AK159</f>
        <v>34</v>
      </c>
      <c r="AM159" s="117">
        <f t="shared" ref="AM159:AM168" si="41">AJ159*AL159</f>
        <v>30600000</v>
      </c>
      <c r="AN159" s="20"/>
      <c r="AP159" t="s">
        <v>25</v>
      </c>
    </row>
    <row r="160" spans="6:44">
      <c r="P160" s="114"/>
      <c r="Q160" s="99"/>
      <c r="R160" s="99"/>
      <c r="S160" s="99"/>
      <c r="T160" s="99"/>
      <c r="U160" s="99"/>
      <c r="V160" s="99"/>
      <c r="W160" s="99"/>
      <c r="X160" s="96"/>
      <c r="Y160" s="96"/>
      <c r="AH160" s="99">
        <v>140</v>
      </c>
      <c r="AI160" s="113" t="s">
        <v>5019</v>
      </c>
      <c r="AJ160" s="113">
        <v>1100000</v>
      </c>
      <c r="AK160" s="99">
        <v>0</v>
      </c>
      <c r="AL160" s="20">
        <f t="shared" si="40"/>
        <v>34</v>
      </c>
      <c r="AM160" s="117">
        <f t="shared" si="41"/>
        <v>37400000</v>
      </c>
      <c r="AN160" s="20" t="s">
        <v>5039</v>
      </c>
      <c r="AQ160" t="s">
        <v>25</v>
      </c>
    </row>
    <row r="161" spans="15:43">
      <c r="P161" s="114"/>
      <c r="Q161" s="96"/>
      <c r="R161" s="96"/>
      <c r="S161" s="96"/>
      <c r="T161" s="96"/>
      <c r="V161" s="96"/>
      <c r="X161" s="115"/>
      <c r="Y161" s="96"/>
      <c r="AH161" s="99">
        <v>141</v>
      </c>
      <c r="AI161" s="113" t="s">
        <v>5019</v>
      </c>
      <c r="AJ161" s="113">
        <v>115000</v>
      </c>
      <c r="AK161" s="99"/>
      <c r="AL161" s="20">
        <f t="shared" si="40"/>
        <v>34</v>
      </c>
      <c r="AM161" s="117">
        <f t="shared" si="41"/>
        <v>3910000</v>
      </c>
      <c r="AN161" s="20"/>
      <c r="AQ161" t="s">
        <v>25</v>
      </c>
    </row>
    <row r="162" spans="15:43">
      <c r="Q162" s="99" t="s">
        <v>5076</v>
      </c>
      <c r="R162" s="95">
        <f>S152-R167</f>
        <v>168448872.284832</v>
      </c>
      <c r="S162" s="96"/>
      <c r="T162" s="96"/>
      <c r="V162" s="96"/>
      <c r="Y162" s="96"/>
      <c r="AH162" s="99">
        <v>142</v>
      </c>
      <c r="AI162" s="113" t="s">
        <v>5029</v>
      </c>
      <c r="AJ162" s="113">
        <v>-1100000</v>
      </c>
      <c r="AK162" s="99"/>
      <c r="AL162" s="20">
        <f t="shared" si="40"/>
        <v>34</v>
      </c>
      <c r="AM162" s="117">
        <f t="shared" si="41"/>
        <v>-37400000</v>
      </c>
      <c r="AN162" s="20" t="s">
        <v>5040</v>
      </c>
      <c r="AQ162" t="s">
        <v>25</v>
      </c>
    </row>
    <row r="163" spans="15:43">
      <c r="Q163" s="99" t="s">
        <v>5077</v>
      </c>
      <c r="R163" s="95">
        <f>S155+S154-R168</f>
        <v>14913046.240077898</v>
      </c>
      <c r="S163" s="96"/>
      <c r="T163" s="96" t="s">
        <v>25</v>
      </c>
      <c r="V163" s="96"/>
      <c r="Y163" s="96"/>
      <c r="AH163" s="99">
        <v>143</v>
      </c>
      <c r="AI163" s="113" t="s">
        <v>5029</v>
      </c>
      <c r="AJ163" s="113">
        <v>900000</v>
      </c>
      <c r="AK163" s="99">
        <v>1</v>
      </c>
      <c r="AL163" s="20">
        <f t="shared" si="40"/>
        <v>34</v>
      </c>
      <c r="AM163" s="117">
        <f t="shared" si="41"/>
        <v>30600000</v>
      </c>
      <c r="AN163" s="20" t="s">
        <v>5039</v>
      </c>
    </row>
    <row r="164" spans="15:43">
      <c r="Q164" s="96"/>
      <c r="R164" s="96"/>
      <c r="S164" s="96"/>
      <c r="T164" s="96"/>
      <c r="V164" s="96"/>
      <c r="Y164" s="96"/>
      <c r="AH164" s="99">
        <v>144</v>
      </c>
      <c r="AI164" s="113" t="s">
        <v>5037</v>
      </c>
      <c r="AJ164" s="113">
        <v>2000000</v>
      </c>
      <c r="AK164" s="99">
        <v>0</v>
      </c>
      <c r="AL164" s="20">
        <f t="shared" si="40"/>
        <v>33</v>
      </c>
      <c r="AM164" s="117">
        <f t="shared" si="41"/>
        <v>66000000</v>
      </c>
      <c r="AN164" s="20"/>
    </row>
    <row r="165" spans="15:43">
      <c r="P165" s="114"/>
      <c r="Q165" s="96"/>
      <c r="R165" s="96"/>
      <c r="S165" s="96"/>
      <c r="T165" s="99" t="s">
        <v>180</v>
      </c>
      <c r="U165" s="99" t="s">
        <v>4483</v>
      </c>
      <c r="V165" s="99" t="s">
        <v>4484</v>
      </c>
      <c r="W165" s="99" t="s">
        <v>4494</v>
      </c>
      <c r="X165" s="99" t="s">
        <v>8</v>
      </c>
      <c r="Y165" s="96"/>
      <c r="AH165" s="99">
        <v>145</v>
      </c>
      <c r="AI165" s="113" t="s">
        <v>5037</v>
      </c>
      <c r="AJ165" s="113">
        <v>360000</v>
      </c>
      <c r="AK165" s="99">
        <v>1</v>
      </c>
      <c r="AL165" s="20">
        <f t="shared" si="40"/>
        <v>33</v>
      </c>
      <c r="AM165" s="117">
        <f t="shared" si="41"/>
        <v>11880000</v>
      </c>
      <c r="AN165" s="20"/>
    </row>
    <row r="166" spans="15:43">
      <c r="Q166" s="36" t="s">
        <v>4569</v>
      </c>
      <c r="R166" s="95">
        <f>SUM(N46:N53)</f>
        <v>758674852.29999995</v>
      </c>
      <c r="T166" s="113" t="s">
        <v>4459</v>
      </c>
      <c r="U166" s="56">
        <v>1000000</v>
      </c>
      <c r="V166" s="113">
        <v>239.024</v>
      </c>
      <c r="W166" s="113">
        <f t="shared" ref="W166:W251" si="42">U166*V166</f>
        <v>239024000</v>
      </c>
      <c r="X166" s="99"/>
      <c r="Y166" t="s">
        <v>25</v>
      </c>
      <c r="AH166" s="99">
        <v>146</v>
      </c>
      <c r="AI166" s="113" t="s">
        <v>5038</v>
      </c>
      <c r="AJ166" s="113">
        <v>3000000</v>
      </c>
      <c r="AK166" s="99">
        <v>1</v>
      </c>
      <c r="AL166" s="20">
        <f t="shared" si="40"/>
        <v>32</v>
      </c>
      <c r="AM166" s="117">
        <f t="shared" si="41"/>
        <v>96000000</v>
      </c>
      <c r="AN166" s="20"/>
    </row>
    <row r="167" spans="15:43">
      <c r="P167" s="114"/>
      <c r="Q167" s="99" t="s">
        <v>4450</v>
      </c>
      <c r="R167" s="95">
        <f>SUM(N21:N26)</f>
        <v>482780824.29999995</v>
      </c>
      <c r="T167" s="168" t="s">
        <v>4441</v>
      </c>
      <c r="U167" s="56">
        <v>5904</v>
      </c>
      <c r="V167" s="113">
        <v>237.148</v>
      </c>
      <c r="W167" s="113">
        <f t="shared" si="42"/>
        <v>1400121.7919999999</v>
      </c>
      <c r="X167" s="99" t="s">
        <v>751</v>
      </c>
      <c r="AH167" s="99">
        <v>147</v>
      </c>
      <c r="AI167" s="113" t="s">
        <v>5034</v>
      </c>
      <c r="AJ167" s="113">
        <v>-658226</v>
      </c>
      <c r="AK167" s="99">
        <v>1</v>
      </c>
      <c r="AL167" s="20">
        <f t="shared" si="40"/>
        <v>31</v>
      </c>
      <c r="AM167" s="117">
        <f t="shared" si="41"/>
        <v>-20405006</v>
      </c>
      <c r="AN167" s="20"/>
    </row>
    <row r="168" spans="15:43">
      <c r="O168" s="96"/>
      <c r="Q168" s="99" t="s">
        <v>4451</v>
      </c>
      <c r="R168" s="95">
        <f>SUM(N29:N33)</f>
        <v>78147123.200000003</v>
      </c>
      <c r="T168" s="168" t="s">
        <v>4231</v>
      </c>
      <c r="U168" s="168">
        <v>1000</v>
      </c>
      <c r="V168" s="113">
        <v>247.393</v>
      </c>
      <c r="W168" s="113">
        <f t="shared" si="42"/>
        <v>247393</v>
      </c>
      <c r="X168" s="99" t="s">
        <v>751</v>
      </c>
      <c r="Y168" t="s">
        <v>25</v>
      </c>
      <c r="AH168" s="99">
        <v>148</v>
      </c>
      <c r="AI168" s="113" t="s">
        <v>5041</v>
      </c>
      <c r="AJ168" s="113">
        <v>1000000</v>
      </c>
      <c r="AK168" s="99">
        <v>15</v>
      </c>
      <c r="AL168" s="20">
        <f t="shared" si="40"/>
        <v>30</v>
      </c>
      <c r="AM168" s="117">
        <f t="shared" si="41"/>
        <v>30000000</v>
      </c>
      <c r="AN168" s="20"/>
      <c r="AP168" t="s">
        <v>25</v>
      </c>
    </row>
    <row r="169" spans="15:43">
      <c r="O169" s="96"/>
      <c r="Q169" s="99" t="s">
        <v>4452</v>
      </c>
      <c r="R169" s="95">
        <f>N44</f>
        <v>1210115</v>
      </c>
      <c r="T169" s="168" t="s">
        <v>4495</v>
      </c>
      <c r="U169" s="168">
        <v>8071</v>
      </c>
      <c r="V169" s="113">
        <v>247.797</v>
      </c>
      <c r="W169" s="113">
        <f t="shared" si="42"/>
        <v>1999969.5870000001</v>
      </c>
      <c r="X169" s="99" t="s">
        <v>4448</v>
      </c>
      <c r="AH169" s="99">
        <v>149</v>
      </c>
      <c r="AI169" s="113" t="s">
        <v>5082</v>
      </c>
      <c r="AJ169" s="113">
        <v>1130250</v>
      </c>
      <c r="AK169" s="99">
        <v>5</v>
      </c>
      <c r="AL169" s="20">
        <f t="shared" si="35"/>
        <v>15</v>
      </c>
      <c r="AM169" s="117">
        <f t="shared" si="38"/>
        <v>16953750</v>
      </c>
      <c r="AN169" s="20"/>
    </row>
    <row r="170" spans="15:43">
      <c r="Q170" s="99" t="s">
        <v>4453</v>
      </c>
      <c r="R170" s="95">
        <f>N20</f>
        <v>22674</v>
      </c>
      <c r="T170" s="168" t="s">
        <v>4495</v>
      </c>
      <c r="U170" s="168">
        <v>53672</v>
      </c>
      <c r="V170" s="113">
        <v>247.797</v>
      </c>
      <c r="W170" s="113">
        <f t="shared" si="42"/>
        <v>13299760.584000001</v>
      </c>
      <c r="X170" s="99" t="s">
        <v>452</v>
      </c>
      <c r="Y170" t="s">
        <v>25</v>
      </c>
      <c r="AE170" s="96" t="s">
        <v>25</v>
      </c>
      <c r="AH170" s="99">
        <v>150</v>
      </c>
      <c r="AI170" s="113" t="s">
        <v>5099</v>
      </c>
      <c r="AJ170" s="113">
        <v>206000</v>
      </c>
      <c r="AK170" s="99">
        <v>2</v>
      </c>
      <c r="AL170" s="20">
        <f t="shared" si="35"/>
        <v>10</v>
      </c>
      <c r="AM170" s="117">
        <f t="shared" si="38"/>
        <v>2060000</v>
      </c>
      <c r="AN170" s="20"/>
    </row>
    <row r="171" spans="15:43">
      <c r="Q171" s="99" t="s">
        <v>4454</v>
      </c>
      <c r="R171" s="95">
        <f>N28</f>
        <v>21594</v>
      </c>
      <c r="T171" s="168" t="s">
        <v>4503</v>
      </c>
      <c r="U171" s="168">
        <v>4099</v>
      </c>
      <c r="V171" s="113">
        <v>243.93</v>
      </c>
      <c r="W171" s="113">
        <f t="shared" si="42"/>
        <v>999869.07000000007</v>
      </c>
      <c r="X171" s="99" t="s">
        <v>4448</v>
      </c>
      <c r="AH171" s="99">
        <v>151</v>
      </c>
      <c r="AI171" s="113" t="s">
        <v>5109</v>
      </c>
      <c r="AJ171" s="113">
        <v>50000</v>
      </c>
      <c r="AK171" s="99">
        <v>2</v>
      </c>
      <c r="AL171" s="20">
        <f t="shared" si="35"/>
        <v>8</v>
      </c>
      <c r="AM171" s="117">
        <f t="shared" si="38"/>
        <v>400000</v>
      </c>
      <c r="AN171" s="20"/>
    </row>
    <row r="172" spans="15:43">
      <c r="Q172" s="99" t="s">
        <v>4466</v>
      </c>
      <c r="R172" s="95">
        <v>0</v>
      </c>
      <c r="T172" s="168" t="s">
        <v>4503</v>
      </c>
      <c r="U172" s="168">
        <v>9301</v>
      </c>
      <c r="V172" s="113">
        <v>243.93</v>
      </c>
      <c r="W172" s="113">
        <f t="shared" si="42"/>
        <v>2268792.9300000002</v>
      </c>
      <c r="X172" s="99" t="s">
        <v>452</v>
      </c>
      <c r="AH172" s="99">
        <v>152</v>
      </c>
      <c r="AI172" s="113" t="s">
        <v>5117</v>
      </c>
      <c r="AJ172" s="113">
        <v>105000</v>
      </c>
      <c r="AK172" s="99">
        <v>4</v>
      </c>
      <c r="AL172" s="20">
        <f t="shared" si="35"/>
        <v>6</v>
      </c>
      <c r="AM172" s="117">
        <f t="shared" si="38"/>
        <v>630000</v>
      </c>
      <c r="AN172" s="20"/>
    </row>
    <row r="173" spans="15:43">
      <c r="Q173" s="99" t="s">
        <v>4939</v>
      </c>
      <c r="R173" s="95">
        <v>0</v>
      </c>
      <c r="T173" s="168" t="s">
        <v>4509</v>
      </c>
      <c r="U173" s="168">
        <v>8334</v>
      </c>
      <c r="V173" s="113">
        <v>239.97</v>
      </c>
      <c r="W173" s="113">
        <f t="shared" si="42"/>
        <v>1999909.98</v>
      </c>
      <c r="X173" s="99" t="s">
        <v>4448</v>
      </c>
      <c r="AH173" s="99">
        <v>153</v>
      </c>
      <c r="AI173" s="113" t="s">
        <v>5125</v>
      </c>
      <c r="AJ173" s="113">
        <v>5000000</v>
      </c>
      <c r="AK173" s="99">
        <v>1</v>
      </c>
      <c r="AL173" s="20">
        <f t="shared" si="35"/>
        <v>2</v>
      </c>
      <c r="AM173" s="117">
        <f t="shared" si="38"/>
        <v>10000000</v>
      </c>
      <c r="AN173" s="20"/>
    </row>
    <row r="174" spans="15:43">
      <c r="Q174" s="99" t="s">
        <v>5134</v>
      </c>
      <c r="R174" s="95">
        <v>204600</v>
      </c>
      <c r="T174" s="168" t="s">
        <v>4230</v>
      </c>
      <c r="U174" s="168">
        <v>29041</v>
      </c>
      <c r="V174" s="113">
        <v>233.45</v>
      </c>
      <c r="W174" s="113">
        <f t="shared" si="42"/>
        <v>6779621.4499999993</v>
      </c>
      <c r="X174" s="99" t="s">
        <v>751</v>
      </c>
      <c r="AH174" s="99">
        <v>154</v>
      </c>
      <c r="AI174" s="113" t="s">
        <v>5128</v>
      </c>
      <c r="AJ174" s="113">
        <v>2500000</v>
      </c>
      <c r="AK174" s="99">
        <v>1</v>
      </c>
      <c r="AL174" s="20">
        <f t="shared" si="35"/>
        <v>1</v>
      </c>
      <c r="AM174" s="117">
        <f t="shared" si="38"/>
        <v>2500000</v>
      </c>
      <c r="AN174" s="20"/>
    </row>
    <row r="175" spans="15:43">
      <c r="Q175" s="99" t="s">
        <v>5135</v>
      </c>
      <c r="R175" s="95">
        <v>24159150</v>
      </c>
      <c r="S175" s="115"/>
      <c r="T175" s="168" t="s">
        <v>994</v>
      </c>
      <c r="U175" s="168">
        <v>12337</v>
      </c>
      <c r="V175" s="113">
        <v>243.16300000000001</v>
      </c>
      <c r="W175" s="113">
        <f t="shared" si="42"/>
        <v>2999901.9310000003</v>
      </c>
      <c r="X175" s="99" t="s">
        <v>4448</v>
      </c>
      <c r="AH175" s="99"/>
      <c r="AI175" s="113"/>
      <c r="AJ175" s="113"/>
      <c r="AK175" s="99"/>
      <c r="AL175" s="20">
        <f t="shared" si="35"/>
        <v>0</v>
      </c>
      <c r="AM175" s="117">
        <f t="shared" si="38"/>
        <v>0</v>
      </c>
      <c r="AN175" s="20"/>
    </row>
    <row r="176" spans="15:43">
      <c r="Q176" s="99" t="s">
        <v>5136</v>
      </c>
      <c r="R176" s="95">
        <v>16266000</v>
      </c>
      <c r="S176" s="122"/>
      <c r="T176" s="168" t="s">
        <v>4590</v>
      </c>
      <c r="U176" s="168">
        <v>-16118</v>
      </c>
      <c r="V176" s="113">
        <v>248.17</v>
      </c>
      <c r="W176" s="113">
        <f t="shared" si="42"/>
        <v>-4000004.0599999996</v>
      </c>
      <c r="X176" s="99" t="s">
        <v>751</v>
      </c>
      <c r="AH176" s="99"/>
      <c r="AI176" s="113"/>
      <c r="AJ176" s="113"/>
      <c r="AK176" s="99"/>
      <c r="AL176" s="20">
        <f t="shared" si="35"/>
        <v>0</v>
      </c>
      <c r="AM176" s="117">
        <f t="shared" si="38"/>
        <v>0</v>
      </c>
      <c r="AN176" s="20"/>
    </row>
    <row r="177" spans="17:44">
      <c r="Q177" s="99" t="s">
        <v>4862</v>
      </c>
      <c r="R177" s="95">
        <v>200000</v>
      </c>
      <c r="S177" s="115"/>
      <c r="T177" s="168" t="s">
        <v>4618</v>
      </c>
      <c r="U177" s="168">
        <v>101681</v>
      </c>
      <c r="V177" s="113">
        <v>246.5711</v>
      </c>
      <c r="W177" s="113">
        <f t="shared" si="42"/>
        <v>25071596.019099999</v>
      </c>
      <c r="X177" s="99" t="s">
        <v>452</v>
      </c>
      <c r="AH177" s="99"/>
      <c r="AI177" s="113"/>
      <c r="AJ177" s="113"/>
      <c r="AK177" s="99"/>
      <c r="AL177" s="20">
        <f t="shared" si="35"/>
        <v>0</v>
      </c>
      <c r="AM177" s="117">
        <f t="shared" si="38"/>
        <v>0</v>
      </c>
      <c r="AN177" s="20"/>
    </row>
    <row r="178" spans="17:44">
      <c r="Q178" s="99" t="s">
        <v>5133</v>
      </c>
      <c r="R178" s="95">
        <v>434850</v>
      </c>
      <c r="S178" s="115"/>
      <c r="T178" s="168" t="s">
        <v>4622</v>
      </c>
      <c r="U178" s="168">
        <v>66606</v>
      </c>
      <c r="V178" s="113">
        <v>251.131</v>
      </c>
      <c r="W178" s="113">
        <f t="shared" si="42"/>
        <v>16726831.386</v>
      </c>
      <c r="X178" s="99" t="s">
        <v>751</v>
      </c>
      <c r="AH178" s="99"/>
      <c r="AI178" s="113"/>
      <c r="AJ178" s="113"/>
      <c r="AK178" s="99"/>
      <c r="AL178" s="20">
        <f t="shared" si="35"/>
        <v>0</v>
      </c>
      <c r="AM178" s="117">
        <f t="shared" si="38"/>
        <v>0</v>
      </c>
      <c r="AN178" s="20"/>
    </row>
    <row r="179" spans="17:44">
      <c r="Q179" s="99" t="s">
        <v>4458</v>
      </c>
      <c r="R179" s="95">
        <f>SUM(R166:R178)</f>
        <v>1362121782.8</v>
      </c>
      <c r="T179" s="168" t="s">
        <v>4627</v>
      </c>
      <c r="U179" s="168">
        <v>172025</v>
      </c>
      <c r="V179" s="113">
        <v>245.52809999999999</v>
      </c>
      <c r="W179" s="113">
        <f t="shared" si="42"/>
        <v>42236971.402499996</v>
      </c>
      <c r="X179" s="99" t="s">
        <v>452</v>
      </c>
      <c r="Y179" t="s">
        <v>25</v>
      </c>
      <c r="AH179" s="99"/>
      <c r="AI179" s="113"/>
      <c r="AJ179" s="113"/>
      <c r="AK179" s="99"/>
      <c r="AL179" s="99">
        <f t="shared" si="35"/>
        <v>0</v>
      </c>
      <c r="AM179" s="117">
        <f t="shared" si="38"/>
        <v>0</v>
      </c>
      <c r="AN179" s="99"/>
    </row>
    <row r="180" spans="17:44">
      <c r="Q180" s="96"/>
      <c r="T180" s="168" t="s">
        <v>4627</v>
      </c>
      <c r="U180" s="168">
        <v>189227</v>
      </c>
      <c r="V180" s="113">
        <v>245.52809999999999</v>
      </c>
      <c r="W180" s="113">
        <f t="shared" si="42"/>
        <v>46460545.778700002</v>
      </c>
      <c r="X180" s="99" t="s">
        <v>751</v>
      </c>
      <c r="AH180" s="99"/>
      <c r="AI180" s="99"/>
      <c r="AJ180" s="95">
        <f>SUM(AJ20:AJ179)</f>
        <v>550044657</v>
      </c>
      <c r="AK180" s="99"/>
      <c r="AL180" s="99"/>
      <c r="AM180" s="95">
        <f>SUM(AM20:AM179)</f>
        <v>116445574832</v>
      </c>
      <c r="AN180" s="95">
        <f>AM180*AN183/31</f>
        <v>62606399.862094969</v>
      </c>
    </row>
    <row r="181" spans="17:44">
      <c r="T181" s="168" t="s">
        <v>4628</v>
      </c>
      <c r="U181" s="168">
        <v>79720</v>
      </c>
      <c r="V181" s="113">
        <v>246.6568</v>
      </c>
      <c r="W181" s="113">
        <f t="shared" si="42"/>
        <v>19663480.096000001</v>
      </c>
      <c r="X181" s="99" t="s">
        <v>452</v>
      </c>
      <c r="Y181" t="s">
        <v>25</v>
      </c>
      <c r="AH181" s="99"/>
      <c r="AI181" s="99"/>
      <c r="AJ181" s="99" t="s">
        <v>4059</v>
      </c>
      <c r="AK181" s="99"/>
      <c r="AL181" s="99"/>
      <c r="AM181" s="99" t="s">
        <v>284</v>
      </c>
      <c r="AN181" s="99" t="s">
        <v>943</v>
      </c>
    </row>
    <row r="182" spans="17:44">
      <c r="Q182" s="99" t="s">
        <v>8</v>
      </c>
      <c r="R182" s="99" t="s">
        <v>4448</v>
      </c>
      <c r="S182" s="99"/>
      <c r="T182" s="168" t="s">
        <v>4628</v>
      </c>
      <c r="U182" s="168">
        <v>79720</v>
      </c>
      <c r="V182" s="113">
        <v>246.6568</v>
      </c>
      <c r="W182" s="113">
        <f t="shared" si="42"/>
        <v>19663480.096000001</v>
      </c>
      <c r="X182" s="99" t="s">
        <v>751</v>
      </c>
      <c r="Y182" t="s">
        <v>25</v>
      </c>
      <c r="AH182" s="99"/>
      <c r="AI182" s="99"/>
      <c r="AJ182" s="99"/>
      <c r="AK182" s="99"/>
      <c r="AL182" s="99"/>
      <c r="AM182" s="99"/>
      <c r="AN182" s="99"/>
    </row>
    <row r="183" spans="17:44">
      <c r="Q183" s="99"/>
      <c r="R183" s="36" t="s">
        <v>180</v>
      </c>
      <c r="S183" s="99" t="s">
        <v>267</v>
      </c>
      <c r="T183" s="168" t="s">
        <v>4652</v>
      </c>
      <c r="U183" s="168">
        <v>17769</v>
      </c>
      <c r="V183" s="113">
        <v>246.17877999999999</v>
      </c>
      <c r="W183" s="113">
        <f t="shared" si="42"/>
        <v>4374350.7418200001</v>
      </c>
      <c r="X183" s="99" t="s">
        <v>751</v>
      </c>
      <c r="AH183" s="99"/>
      <c r="AI183" s="99"/>
      <c r="AJ183" s="99"/>
      <c r="AK183" s="99"/>
      <c r="AL183" s="99"/>
      <c r="AM183" s="99" t="s">
        <v>4060</v>
      </c>
      <c r="AN183" s="99">
        <v>1.6667000000000001E-2</v>
      </c>
    </row>
    <row r="184" spans="17:44">
      <c r="Q184" s="99"/>
      <c r="R184" s="99" t="s">
        <v>4441</v>
      </c>
      <c r="S184" s="95">
        <v>3000000</v>
      </c>
      <c r="T184" s="168" t="s">
        <v>4652</v>
      </c>
      <c r="U184" s="168">
        <v>17769</v>
      </c>
      <c r="V184" s="113">
        <v>246.17877999999999</v>
      </c>
      <c r="W184" s="113">
        <f t="shared" si="42"/>
        <v>4374350.7418200001</v>
      </c>
      <c r="X184" s="99" t="s">
        <v>452</v>
      </c>
      <c r="AH184" s="99"/>
      <c r="AI184" s="99"/>
      <c r="AJ184" s="99"/>
      <c r="AK184" s="99"/>
      <c r="AL184" s="99"/>
      <c r="AM184" s="99"/>
      <c r="AN184" s="99"/>
      <c r="AR184" t="s">
        <v>25</v>
      </c>
    </row>
    <row r="185" spans="17:44">
      <c r="Q185" s="99"/>
      <c r="R185" s="99" t="s">
        <v>4495</v>
      </c>
      <c r="S185" s="95">
        <v>2000000</v>
      </c>
      <c r="T185" s="168" t="s">
        <v>4656</v>
      </c>
      <c r="U185" s="168">
        <v>12438</v>
      </c>
      <c r="V185" s="113">
        <v>241.20465999999999</v>
      </c>
      <c r="W185" s="113">
        <f t="shared" si="42"/>
        <v>3000103.5610799999</v>
      </c>
      <c r="X185" s="99" t="s">
        <v>4448</v>
      </c>
      <c r="AH185" s="99"/>
      <c r="AI185" s="99" t="s">
        <v>4061</v>
      </c>
      <c r="AJ185" s="95">
        <f>AJ180+AN180</f>
        <v>612651056.862095</v>
      </c>
      <c r="AK185" s="99"/>
      <c r="AL185" s="99"/>
      <c r="AM185" s="99"/>
      <c r="AN185" s="99"/>
    </row>
    <row r="186" spans="17:44">
      <c r="Q186" s="99"/>
      <c r="R186" s="99" t="s">
        <v>4503</v>
      </c>
      <c r="S186" s="95">
        <v>1000000</v>
      </c>
      <c r="T186" s="168" t="s">
        <v>4665</v>
      </c>
      <c r="U186" s="168">
        <v>27363</v>
      </c>
      <c r="V186" s="113">
        <v>239.3886</v>
      </c>
      <c r="W186" s="113">
        <f t="shared" si="42"/>
        <v>6550390.2617999995</v>
      </c>
      <c r="X186" s="99" t="s">
        <v>751</v>
      </c>
      <c r="AI186" t="s">
        <v>4064</v>
      </c>
      <c r="AJ186" s="114">
        <f>SUM(N44:N53)</f>
        <v>759884967.29999995</v>
      </c>
    </row>
    <row r="187" spans="17:44">
      <c r="Q187" s="99"/>
      <c r="R187" s="99" t="s">
        <v>4509</v>
      </c>
      <c r="S187" s="95">
        <v>2000000</v>
      </c>
      <c r="T187" s="168" t="s">
        <v>4665</v>
      </c>
      <c r="U187" s="168">
        <v>27363</v>
      </c>
      <c r="V187" s="113">
        <v>239.3886</v>
      </c>
      <c r="W187" s="113">
        <f t="shared" si="42"/>
        <v>6550390.2617999995</v>
      </c>
      <c r="X187" s="99" t="s">
        <v>452</v>
      </c>
      <c r="Z187" t="s">
        <v>25</v>
      </c>
      <c r="AI187" t="s">
        <v>4136</v>
      </c>
      <c r="AJ187" s="114">
        <f>AJ186-AJ180</f>
        <v>209840310.29999995</v>
      </c>
      <c r="AM187" t="s">
        <v>25</v>
      </c>
    </row>
    <row r="188" spans="17:44">
      <c r="Q188" s="99"/>
      <c r="R188" s="99" t="s">
        <v>994</v>
      </c>
      <c r="S188" s="95">
        <v>3000000</v>
      </c>
      <c r="T188" s="210" t="s">
        <v>4667</v>
      </c>
      <c r="U188" s="210">
        <v>27437</v>
      </c>
      <c r="V188" s="113">
        <v>242.4015</v>
      </c>
      <c r="W188" s="113">
        <f t="shared" si="42"/>
        <v>6650769.9555000002</v>
      </c>
      <c r="X188" s="99" t="s">
        <v>751</v>
      </c>
      <c r="AI188" t="s">
        <v>943</v>
      </c>
      <c r="AJ188" s="114">
        <f>AN180</f>
        <v>62606399.862094969</v>
      </c>
      <c r="AN188" t="s">
        <v>25</v>
      </c>
    </row>
    <row r="189" spans="17:44">
      <c r="Q189" s="99"/>
      <c r="R189" s="99" t="s">
        <v>4656</v>
      </c>
      <c r="S189" s="95">
        <v>3000000</v>
      </c>
      <c r="T189" s="210" t="s">
        <v>4667</v>
      </c>
      <c r="U189" s="210">
        <v>29104</v>
      </c>
      <c r="V189" s="113">
        <v>242.4015</v>
      </c>
      <c r="W189" s="113">
        <f t="shared" si="42"/>
        <v>7054853.2560000001</v>
      </c>
      <c r="X189" s="99" t="s">
        <v>452</v>
      </c>
      <c r="AI189" t="s">
        <v>4065</v>
      </c>
      <c r="AJ189" s="114">
        <f>AJ186-AJ185</f>
        <v>147233910.43790495</v>
      </c>
      <c r="AN189" t="s">
        <v>25</v>
      </c>
    </row>
    <row r="190" spans="17:44">
      <c r="Q190" s="99" t="s">
        <v>4851</v>
      </c>
      <c r="R190" s="99" t="s">
        <v>4846</v>
      </c>
      <c r="S190" s="95">
        <v>-800000</v>
      </c>
      <c r="T190" s="213" t="s">
        <v>4691</v>
      </c>
      <c r="U190" s="213">
        <v>8991</v>
      </c>
      <c r="V190" s="113">
        <v>238.64867000000001</v>
      </c>
      <c r="W190" s="113">
        <f t="shared" si="42"/>
        <v>2145690.19197</v>
      </c>
      <c r="X190" s="99" t="s">
        <v>751</v>
      </c>
      <c r="AM190" t="s">
        <v>25</v>
      </c>
    </row>
    <row r="191" spans="17:44">
      <c r="Q191" s="99" t="s">
        <v>4852</v>
      </c>
      <c r="R191" s="99" t="s">
        <v>4846</v>
      </c>
      <c r="S191" s="95">
        <v>-900000</v>
      </c>
      <c r="T191" s="213" t="s">
        <v>4691</v>
      </c>
      <c r="U191" s="213">
        <v>8991</v>
      </c>
      <c r="V191" s="113">
        <v>238.64867000000001</v>
      </c>
      <c r="W191" s="113">
        <f t="shared" si="42"/>
        <v>2145690.19197</v>
      </c>
      <c r="X191" s="99" t="s">
        <v>452</v>
      </c>
      <c r="Y191" t="s">
        <v>25</v>
      </c>
      <c r="AJ191" t="s">
        <v>25</v>
      </c>
    </row>
    <row r="192" spans="17:44">
      <c r="Q192" s="99" t="s">
        <v>4852</v>
      </c>
      <c r="R192" s="99" t="s">
        <v>981</v>
      </c>
      <c r="S192" s="95">
        <v>-1100000</v>
      </c>
      <c r="T192" s="213" t="s">
        <v>4703</v>
      </c>
      <c r="U192" s="213">
        <v>18170</v>
      </c>
      <c r="V192" s="113">
        <v>240.48475999999999</v>
      </c>
      <c r="W192" s="113">
        <f t="shared" si="42"/>
        <v>4369608.0892000003</v>
      </c>
      <c r="X192" s="99" t="s">
        <v>751</v>
      </c>
    </row>
    <row r="193" spans="15:44">
      <c r="Q193" s="195" t="s">
        <v>1087</v>
      </c>
      <c r="R193" s="195" t="s">
        <v>4877</v>
      </c>
      <c r="S193" s="242">
        <v>30000000</v>
      </c>
      <c r="T193" s="213" t="s">
        <v>4703</v>
      </c>
      <c r="U193" s="213">
        <v>18170</v>
      </c>
      <c r="V193" s="113">
        <v>240.48475999999999</v>
      </c>
      <c r="W193" s="113">
        <f t="shared" si="42"/>
        <v>4369608.0892000003</v>
      </c>
      <c r="X193" s="99" t="s">
        <v>452</v>
      </c>
    </row>
    <row r="194" spans="15:44">
      <c r="Q194" s="20" t="s">
        <v>4969</v>
      </c>
      <c r="R194" s="20" t="s">
        <v>4967</v>
      </c>
      <c r="S194" s="247">
        <v>2000000</v>
      </c>
      <c r="T194" s="213" t="s">
        <v>4705</v>
      </c>
      <c r="U194" s="213">
        <v>36797</v>
      </c>
      <c r="V194" s="113">
        <v>239.0822</v>
      </c>
      <c r="W194" s="113">
        <f t="shared" si="42"/>
        <v>8797507.7134000007</v>
      </c>
      <c r="X194" s="99" t="s">
        <v>751</v>
      </c>
    </row>
    <row r="195" spans="15:44">
      <c r="Q195" s="149" t="s">
        <v>4999</v>
      </c>
      <c r="R195" s="149" t="s">
        <v>4998</v>
      </c>
      <c r="S195" s="150">
        <v>480105</v>
      </c>
      <c r="T195" s="213" t="s">
        <v>4705</v>
      </c>
      <c r="U195" s="213">
        <v>36797</v>
      </c>
      <c r="V195" s="113">
        <v>239.0822</v>
      </c>
      <c r="W195" s="113">
        <f t="shared" si="42"/>
        <v>8797507.7134000007</v>
      </c>
      <c r="X195" s="99" t="s">
        <v>452</v>
      </c>
    </row>
    <row r="196" spans="15:44">
      <c r="Q196" s="149"/>
      <c r="R196" s="149" t="s">
        <v>5056</v>
      </c>
      <c r="S196" s="150">
        <v>30500000</v>
      </c>
      <c r="T196" s="213" t="s">
        <v>4714</v>
      </c>
      <c r="U196" s="213">
        <v>28066</v>
      </c>
      <c r="V196" s="113">
        <v>237.56970000000001</v>
      </c>
      <c r="W196" s="113">
        <f t="shared" si="42"/>
        <v>6667631.2002000008</v>
      </c>
      <c r="X196" s="99" t="s">
        <v>751</v>
      </c>
      <c r="AH196" s="99" t="s">
        <v>3641</v>
      </c>
      <c r="AI196" s="99" t="s">
        <v>180</v>
      </c>
      <c r="AJ196" s="99" t="s">
        <v>267</v>
      </c>
      <c r="AK196" s="99" t="s">
        <v>4058</v>
      </c>
      <c r="AL196" s="99" t="s">
        <v>4050</v>
      </c>
      <c r="AM196" s="99" t="s">
        <v>282</v>
      </c>
      <c r="AN196" s="99" t="s">
        <v>4292</v>
      </c>
    </row>
    <row r="197" spans="15:44">
      <c r="Q197" s="20" t="s">
        <v>5105</v>
      </c>
      <c r="R197" s="20" t="s">
        <v>5099</v>
      </c>
      <c r="S197" s="247">
        <v>-400000</v>
      </c>
      <c r="T197" s="213" t="s">
        <v>4714</v>
      </c>
      <c r="U197" s="213">
        <v>28066</v>
      </c>
      <c r="V197" s="113">
        <v>237.56970000000001</v>
      </c>
      <c r="W197" s="113">
        <f t="shared" si="42"/>
        <v>6667631.2002000008</v>
      </c>
      <c r="X197" s="99" t="s">
        <v>452</v>
      </c>
      <c r="Y197" t="s">
        <v>25</v>
      </c>
      <c r="AH197" s="99">
        <v>1</v>
      </c>
      <c r="AI197" s="99" t="s">
        <v>3949</v>
      </c>
      <c r="AJ197" s="117">
        <v>3555820</v>
      </c>
      <c r="AK197" s="99">
        <v>2</v>
      </c>
      <c r="AL197" s="99">
        <f>AK197+AL198</f>
        <v>349</v>
      </c>
      <c r="AM197" s="99">
        <f>AJ197*AL197</f>
        <v>1240981180</v>
      </c>
      <c r="AN197" s="99" t="s">
        <v>4312</v>
      </c>
    </row>
    <row r="198" spans="15:44">
      <c r="Q198" s="99"/>
      <c r="R198" s="99"/>
      <c r="S198" s="95"/>
      <c r="T198" s="213" t="s">
        <v>3684</v>
      </c>
      <c r="U198" s="213">
        <v>37457</v>
      </c>
      <c r="V198" s="113">
        <v>239.77</v>
      </c>
      <c r="W198" s="113">
        <f t="shared" si="42"/>
        <v>8981064.8900000006</v>
      </c>
      <c r="X198" s="99" t="s">
        <v>751</v>
      </c>
      <c r="AH198" s="99">
        <v>2</v>
      </c>
      <c r="AI198" s="99" t="s">
        <v>4024</v>
      </c>
      <c r="AJ198" s="117">
        <v>1720837</v>
      </c>
      <c r="AK198" s="99">
        <v>51</v>
      </c>
      <c r="AL198" s="99">
        <f t="shared" ref="AL198:AL207" si="43">AK198+AL199</f>
        <v>347</v>
      </c>
      <c r="AM198" s="99">
        <f t="shared" ref="AM198:AM226" si="44">AJ198*AL198</f>
        <v>597130439</v>
      </c>
      <c r="AN198" s="99" t="s">
        <v>4313</v>
      </c>
    </row>
    <row r="199" spans="15:44">
      <c r="Q199" s="99"/>
      <c r="R199" s="99"/>
      <c r="S199" s="95">
        <f>SUM(S184:S198)</f>
        <v>73780105</v>
      </c>
      <c r="T199" s="213" t="s">
        <v>3684</v>
      </c>
      <c r="U199" s="213">
        <v>37457</v>
      </c>
      <c r="V199" s="113">
        <v>239.77</v>
      </c>
      <c r="W199" s="113">
        <f t="shared" si="42"/>
        <v>8981064.8900000006</v>
      </c>
      <c r="X199" s="99" t="s">
        <v>452</v>
      </c>
      <c r="AH199" s="99">
        <v>3</v>
      </c>
      <c r="AI199" s="99" t="s">
        <v>4130</v>
      </c>
      <c r="AJ199" s="117">
        <v>150000</v>
      </c>
      <c r="AK199" s="99">
        <v>3</v>
      </c>
      <c r="AL199" s="99">
        <f t="shared" si="43"/>
        <v>296</v>
      </c>
      <c r="AM199" s="99">
        <f t="shared" si="44"/>
        <v>44400000</v>
      </c>
      <c r="AN199" s="99"/>
    </row>
    <row r="200" spans="15:44">
      <c r="Q200" s="99"/>
      <c r="R200" s="99"/>
      <c r="S200" s="99" t="s">
        <v>6</v>
      </c>
      <c r="T200" s="213" t="s">
        <v>4727</v>
      </c>
      <c r="U200" s="213">
        <v>38412</v>
      </c>
      <c r="V200" s="113">
        <v>239.03</v>
      </c>
      <c r="W200" s="113">
        <f t="shared" si="42"/>
        <v>9181620.3599999994</v>
      </c>
      <c r="X200" s="99" t="s">
        <v>751</v>
      </c>
      <c r="AH200" s="99">
        <v>4</v>
      </c>
      <c r="AI200" s="99" t="s">
        <v>4145</v>
      </c>
      <c r="AJ200" s="117">
        <v>-95000</v>
      </c>
      <c r="AK200" s="99">
        <v>8</v>
      </c>
      <c r="AL200" s="99">
        <f t="shared" si="43"/>
        <v>293</v>
      </c>
      <c r="AM200" s="99">
        <f t="shared" si="44"/>
        <v>-27835000</v>
      </c>
      <c r="AN200" s="99"/>
    </row>
    <row r="201" spans="15:44">
      <c r="T201" s="213" t="s">
        <v>4727</v>
      </c>
      <c r="U201" s="213">
        <v>38412</v>
      </c>
      <c r="V201" s="113">
        <v>239.03</v>
      </c>
      <c r="W201" s="113">
        <f t="shared" si="42"/>
        <v>9181620.3599999994</v>
      </c>
      <c r="X201" s="99" t="s">
        <v>452</v>
      </c>
      <c r="AH201" s="99">
        <v>5</v>
      </c>
      <c r="AI201" s="99" t="s">
        <v>4172</v>
      </c>
      <c r="AJ201" s="117">
        <v>3150000</v>
      </c>
      <c r="AK201" s="99">
        <v>16</v>
      </c>
      <c r="AL201" s="99">
        <f t="shared" si="43"/>
        <v>285</v>
      </c>
      <c r="AM201" s="99">
        <f t="shared" si="44"/>
        <v>897750000</v>
      </c>
      <c r="AN201" s="99"/>
      <c r="AQ201" t="s">
        <v>25</v>
      </c>
    </row>
    <row r="202" spans="15:44">
      <c r="O202" t="s">
        <v>25</v>
      </c>
      <c r="Q202" s="96"/>
      <c r="R202" s="96" t="s">
        <v>25</v>
      </c>
      <c r="T202" s="213" t="s">
        <v>4731</v>
      </c>
      <c r="U202" s="213">
        <v>49555</v>
      </c>
      <c r="V202" s="113">
        <v>238.345</v>
      </c>
      <c r="W202" s="113">
        <f t="shared" si="42"/>
        <v>11811186.475</v>
      </c>
      <c r="X202" s="99" t="s">
        <v>751</v>
      </c>
      <c r="AH202" s="99">
        <v>6</v>
      </c>
      <c r="AI202" s="99" t="s">
        <v>4240</v>
      </c>
      <c r="AJ202" s="117">
        <v>-65000</v>
      </c>
      <c r="AK202" s="99">
        <v>1</v>
      </c>
      <c r="AL202" s="99">
        <f t="shared" si="43"/>
        <v>269</v>
      </c>
      <c r="AM202" s="99">
        <f t="shared" si="44"/>
        <v>-17485000</v>
      </c>
      <c r="AN202" s="99"/>
    </row>
    <row r="203" spans="15:44">
      <c r="Q203" s="96"/>
      <c r="R203" s="96" t="s">
        <v>25</v>
      </c>
      <c r="T203" s="213" t="s">
        <v>4731</v>
      </c>
      <c r="U203" s="213">
        <v>49555</v>
      </c>
      <c r="V203" s="113">
        <v>238.345</v>
      </c>
      <c r="W203" s="113">
        <f t="shared" si="42"/>
        <v>11811186.475</v>
      </c>
      <c r="X203" s="99" t="s">
        <v>452</v>
      </c>
      <c r="AH203" s="99">
        <v>7</v>
      </c>
      <c r="AI203" s="99" t="s">
        <v>4314</v>
      </c>
      <c r="AJ203" s="117">
        <v>-95000</v>
      </c>
      <c r="AK203" s="99">
        <v>6</v>
      </c>
      <c r="AL203" s="99">
        <f t="shared" si="43"/>
        <v>268</v>
      </c>
      <c r="AM203" s="99">
        <f t="shared" si="44"/>
        <v>-25460000</v>
      </c>
      <c r="AN203" s="99"/>
    </row>
    <row r="204" spans="15:44">
      <c r="T204" s="213" t="s">
        <v>4745</v>
      </c>
      <c r="U204" s="213">
        <v>160187</v>
      </c>
      <c r="V204" s="113">
        <v>257.49799999999999</v>
      </c>
      <c r="W204" s="113">
        <f t="shared" si="42"/>
        <v>41247832.126000002</v>
      </c>
      <c r="X204" s="99" t="s">
        <v>751</v>
      </c>
      <c r="AH204" s="99">
        <v>8</v>
      </c>
      <c r="AI204" s="99" t="s">
        <v>4315</v>
      </c>
      <c r="AJ204" s="117">
        <v>232000</v>
      </c>
      <c r="AK204" s="99">
        <v>7</v>
      </c>
      <c r="AL204" s="99">
        <f t="shared" si="43"/>
        <v>262</v>
      </c>
      <c r="AM204" s="99">
        <f t="shared" si="44"/>
        <v>60784000</v>
      </c>
      <c r="AN204" s="99"/>
      <c r="AR204" t="s">
        <v>25</v>
      </c>
    </row>
    <row r="205" spans="15:44">
      <c r="Q205" s="99" t="s">
        <v>751</v>
      </c>
      <c r="R205" s="99"/>
      <c r="T205" s="213" t="s">
        <v>4745</v>
      </c>
      <c r="U205" s="213">
        <v>160187</v>
      </c>
      <c r="V205" s="113">
        <v>257.49799999999999</v>
      </c>
      <c r="W205" s="113">
        <f t="shared" si="42"/>
        <v>41247832.126000002</v>
      </c>
      <c r="X205" s="99" t="s">
        <v>452</v>
      </c>
      <c r="AH205" s="99">
        <v>9</v>
      </c>
      <c r="AI205" s="99" t="s">
        <v>4291</v>
      </c>
      <c r="AJ205" s="117">
        <v>13000000</v>
      </c>
      <c r="AK205" s="99">
        <v>2</v>
      </c>
      <c r="AL205" s="99">
        <f t="shared" si="43"/>
        <v>255</v>
      </c>
      <c r="AM205" s="99">
        <f t="shared" si="44"/>
        <v>3315000000</v>
      </c>
      <c r="AN205" s="99"/>
    </row>
    <row r="206" spans="15:44">
      <c r="Q206" s="99" t="s">
        <v>4441</v>
      </c>
      <c r="R206" s="95">
        <v>172908000</v>
      </c>
      <c r="T206" s="213" t="s">
        <v>4753</v>
      </c>
      <c r="U206" s="213">
        <v>144401</v>
      </c>
      <c r="V206" s="113">
        <v>258.5061</v>
      </c>
      <c r="W206" s="113">
        <f t="shared" si="42"/>
        <v>37328539.346100003</v>
      </c>
      <c r="X206" s="99" t="s">
        <v>751</v>
      </c>
      <c r="AH206" s="99">
        <v>10</v>
      </c>
      <c r="AI206" s="99" t="s">
        <v>4316</v>
      </c>
      <c r="AJ206" s="117">
        <v>10000000</v>
      </c>
      <c r="AK206" s="99">
        <v>3</v>
      </c>
      <c r="AL206" s="99">
        <f t="shared" si="43"/>
        <v>253</v>
      </c>
      <c r="AM206" s="99">
        <f t="shared" si="44"/>
        <v>2530000000</v>
      </c>
      <c r="AN206" s="99"/>
    </row>
    <row r="207" spans="15:44">
      <c r="Q207" s="99" t="s">
        <v>4482</v>
      </c>
      <c r="R207" s="95">
        <v>1400000</v>
      </c>
      <c r="T207" s="213" t="s">
        <v>4753</v>
      </c>
      <c r="U207" s="213">
        <v>144401</v>
      </c>
      <c r="V207" s="113">
        <v>258.5061</v>
      </c>
      <c r="W207" s="113">
        <f t="shared" si="42"/>
        <v>37328539.346100003</v>
      </c>
      <c r="X207" s="99" t="s">
        <v>452</v>
      </c>
      <c r="AH207" s="99">
        <v>11</v>
      </c>
      <c r="AI207" s="99" t="s">
        <v>4304</v>
      </c>
      <c r="AJ207" s="117">
        <v>3400000</v>
      </c>
      <c r="AK207" s="99">
        <v>9</v>
      </c>
      <c r="AL207" s="99">
        <f t="shared" si="43"/>
        <v>250</v>
      </c>
      <c r="AM207" s="99">
        <f t="shared" si="44"/>
        <v>850000000</v>
      </c>
      <c r="AN207" s="99"/>
      <c r="AR207" t="s">
        <v>25</v>
      </c>
    </row>
    <row r="208" spans="15:44">
      <c r="Q208" s="99" t="s">
        <v>4231</v>
      </c>
      <c r="R208" s="95">
        <v>247393</v>
      </c>
      <c r="S208" t="s">
        <v>25</v>
      </c>
      <c r="T208" s="168" t="s">
        <v>4761</v>
      </c>
      <c r="U208" s="168">
        <v>196500</v>
      </c>
      <c r="V208" s="113">
        <v>254.452</v>
      </c>
      <c r="W208" s="113">
        <f t="shared" si="42"/>
        <v>49999818</v>
      </c>
      <c r="X208" s="99" t="s">
        <v>4765</v>
      </c>
      <c r="AH208" s="99">
        <v>12</v>
      </c>
      <c r="AI208" s="99" t="s">
        <v>4346</v>
      </c>
      <c r="AJ208" s="117">
        <v>-8736514</v>
      </c>
      <c r="AK208" s="99">
        <v>1</v>
      </c>
      <c r="AL208" s="99">
        <f>AK208+AL209</f>
        <v>241</v>
      </c>
      <c r="AM208" s="99">
        <f t="shared" si="44"/>
        <v>-2105499874</v>
      </c>
      <c r="AN208" s="99"/>
    </row>
    <row r="209" spans="17:45">
      <c r="Q209" s="99" t="s">
        <v>4230</v>
      </c>
      <c r="R209" s="95">
        <v>6780000</v>
      </c>
      <c r="T209" s="213" t="s">
        <v>4761</v>
      </c>
      <c r="U209" s="213">
        <v>2561</v>
      </c>
      <c r="V209" s="113">
        <v>254.536</v>
      </c>
      <c r="W209" s="113">
        <f t="shared" si="42"/>
        <v>651866.696</v>
      </c>
      <c r="X209" s="99" t="s">
        <v>4766</v>
      </c>
      <c r="AH209" s="99">
        <v>13</v>
      </c>
      <c r="AI209" s="99" t="s">
        <v>4347</v>
      </c>
      <c r="AJ209" s="117">
        <v>555000</v>
      </c>
      <c r="AK209" s="99">
        <v>5</v>
      </c>
      <c r="AL209" s="99">
        <f t="shared" ref="AL209:AL225" si="45">AK209+AL210</f>
        <v>240</v>
      </c>
      <c r="AM209" s="99">
        <f t="shared" si="44"/>
        <v>133200000</v>
      </c>
      <c r="AN209" s="99"/>
      <c r="AP209" t="s">
        <v>25</v>
      </c>
    </row>
    <row r="210" spans="17:45">
      <c r="Q210" s="99" t="s">
        <v>4590</v>
      </c>
      <c r="R210" s="95">
        <v>-4000000</v>
      </c>
      <c r="T210" s="213" t="s">
        <v>4812</v>
      </c>
      <c r="U210" s="213">
        <v>-11795</v>
      </c>
      <c r="V210" s="113">
        <v>254.334</v>
      </c>
      <c r="W210" s="113">
        <f t="shared" si="42"/>
        <v>-2999869.5300000003</v>
      </c>
      <c r="X210" s="99" t="s">
        <v>4813</v>
      </c>
      <c r="Z210" t="s">
        <v>25</v>
      </c>
      <c r="AH210" s="99">
        <v>14</v>
      </c>
      <c r="AI210" s="99" t="s">
        <v>4371</v>
      </c>
      <c r="AJ210" s="117">
        <v>-448308</v>
      </c>
      <c r="AK210" s="99">
        <v>6</v>
      </c>
      <c r="AL210" s="99">
        <f t="shared" si="45"/>
        <v>235</v>
      </c>
      <c r="AM210" s="99">
        <f t="shared" si="44"/>
        <v>-105352380</v>
      </c>
      <c r="AN210" s="99"/>
    </row>
    <row r="211" spans="17:45">
      <c r="Q211" s="99" t="s">
        <v>4622</v>
      </c>
      <c r="R211" s="95">
        <v>16727037</v>
      </c>
      <c r="T211" s="213" t="s">
        <v>4812</v>
      </c>
      <c r="U211" s="213">
        <v>11795</v>
      </c>
      <c r="V211" s="113">
        <v>254.334</v>
      </c>
      <c r="W211" s="113">
        <f t="shared" si="42"/>
        <v>2999869.5300000003</v>
      </c>
      <c r="X211" s="99" t="s">
        <v>4814</v>
      </c>
      <c r="AH211" s="99">
        <v>15</v>
      </c>
      <c r="AI211" s="99" t="s">
        <v>4402</v>
      </c>
      <c r="AJ211" s="117">
        <v>33225</v>
      </c>
      <c r="AK211" s="99">
        <v>0</v>
      </c>
      <c r="AL211" s="99">
        <f t="shared" si="45"/>
        <v>229</v>
      </c>
      <c r="AM211" s="99">
        <f t="shared" si="44"/>
        <v>7608525</v>
      </c>
      <c r="AN211" s="99"/>
    </row>
    <row r="212" spans="17:45">
      <c r="Q212" s="99" t="s">
        <v>4627</v>
      </c>
      <c r="R212" s="95">
        <v>46460683</v>
      </c>
      <c r="S212" t="s">
        <v>25</v>
      </c>
      <c r="T212" s="213" t="s">
        <v>4827</v>
      </c>
      <c r="U212" s="213">
        <v>260</v>
      </c>
      <c r="V212" s="113">
        <v>263.19</v>
      </c>
      <c r="W212" s="113">
        <f t="shared" si="42"/>
        <v>68429.399999999994</v>
      </c>
      <c r="X212" s="99" t="s">
        <v>452</v>
      </c>
      <c r="AH212" s="149">
        <v>16</v>
      </c>
      <c r="AI212" s="149" t="s">
        <v>4402</v>
      </c>
      <c r="AJ212" s="188">
        <v>4098523</v>
      </c>
      <c r="AK212" s="149">
        <v>2</v>
      </c>
      <c r="AL212" s="149">
        <f t="shared" si="45"/>
        <v>229</v>
      </c>
      <c r="AM212" s="149">
        <f t="shared" si="44"/>
        <v>938561767</v>
      </c>
      <c r="AN212" s="149" t="s">
        <v>657</v>
      </c>
    </row>
    <row r="213" spans="17:45">
      <c r="Q213" s="99" t="s">
        <v>4628</v>
      </c>
      <c r="R213" s="95">
        <v>19663646</v>
      </c>
      <c r="T213" s="213" t="s">
        <v>4841</v>
      </c>
      <c r="U213" s="213">
        <v>15257</v>
      </c>
      <c r="V213" s="113">
        <v>262.19018</v>
      </c>
      <c r="W213" s="113">
        <f t="shared" si="42"/>
        <v>4000235.57626</v>
      </c>
      <c r="X213" s="99" t="s">
        <v>452</v>
      </c>
      <c r="AH213" s="149">
        <v>17</v>
      </c>
      <c r="AI213" s="149" t="s">
        <v>4415</v>
      </c>
      <c r="AJ213" s="188">
        <v>-1000000</v>
      </c>
      <c r="AK213" s="149">
        <v>7</v>
      </c>
      <c r="AL213" s="149">
        <f t="shared" si="45"/>
        <v>227</v>
      </c>
      <c r="AM213" s="149">
        <f t="shared" si="44"/>
        <v>-227000000</v>
      </c>
      <c r="AN213" s="149" t="s">
        <v>657</v>
      </c>
      <c r="AR213" t="s">
        <v>25</v>
      </c>
    </row>
    <row r="214" spans="17:45">
      <c r="Q214" s="99" t="s">
        <v>4652</v>
      </c>
      <c r="R214" s="95">
        <v>4374525</v>
      </c>
      <c r="T214" s="213" t="s">
        <v>4841</v>
      </c>
      <c r="U214" s="213">
        <v>8444</v>
      </c>
      <c r="V214" s="113">
        <v>266.43029999999999</v>
      </c>
      <c r="W214" s="113">
        <f t="shared" si="42"/>
        <v>2249737.4531999999</v>
      </c>
      <c r="X214" s="99" t="s">
        <v>452</v>
      </c>
      <c r="AH214" s="149">
        <v>18</v>
      </c>
      <c r="AI214" s="149" t="s">
        <v>4437</v>
      </c>
      <c r="AJ214" s="188">
        <v>750000</v>
      </c>
      <c r="AK214" s="149">
        <v>1</v>
      </c>
      <c r="AL214" s="149">
        <f t="shared" si="45"/>
        <v>220</v>
      </c>
      <c r="AM214" s="149">
        <f t="shared" si="44"/>
        <v>165000000</v>
      </c>
      <c r="AN214" s="149" t="s">
        <v>657</v>
      </c>
      <c r="AQ214" t="s">
        <v>25</v>
      </c>
    </row>
    <row r="215" spans="17:45">
      <c r="Q215" s="99" t="s">
        <v>4665</v>
      </c>
      <c r="R215" s="95">
        <v>6550580</v>
      </c>
      <c r="T215" s="213" t="s">
        <v>4846</v>
      </c>
      <c r="U215" s="213">
        <v>-6209</v>
      </c>
      <c r="V215" s="113">
        <v>273.79649999999998</v>
      </c>
      <c r="W215" s="113">
        <f t="shared" si="42"/>
        <v>-1700002.4685</v>
      </c>
      <c r="X215" s="99" t="s">
        <v>4857</v>
      </c>
      <c r="AH215" s="195">
        <v>19</v>
      </c>
      <c r="AI215" s="195" t="s">
        <v>4439</v>
      </c>
      <c r="AJ215" s="196">
        <v>-604152</v>
      </c>
      <c r="AK215" s="195">
        <v>0</v>
      </c>
      <c r="AL215" s="195">
        <f t="shared" si="45"/>
        <v>219</v>
      </c>
      <c r="AM215" s="195">
        <f t="shared" si="44"/>
        <v>-132309288</v>
      </c>
      <c r="AN215" s="195" t="s">
        <v>657</v>
      </c>
    </row>
    <row r="216" spans="17:45">
      <c r="Q216" s="99" t="s">
        <v>4667</v>
      </c>
      <c r="R216" s="95">
        <v>6650895</v>
      </c>
      <c r="T216" s="213" t="s">
        <v>4846</v>
      </c>
      <c r="U216" s="213">
        <v>-8014</v>
      </c>
      <c r="V216" s="113">
        <v>273.79649999999998</v>
      </c>
      <c r="W216" s="113">
        <f t="shared" si="42"/>
        <v>-2194205.1510000001</v>
      </c>
      <c r="X216" s="99" t="s">
        <v>751</v>
      </c>
      <c r="AH216" s="99">
        <v>20</v>
      </c>
      <c r="AI216" s="99" t="s">
        <v>4440</v>
      </c>
      <c r="AJ216" s="117">
        <v>-587083</v>
      </c>
      <c r="AK216" s="99">
        <v>4</v>
      </c>
      <c r="AL216" s="99">
        <f t="shared" si="45"/>
        <v>219</v>
      </c>
      <c r="AM216" s="99">
        <f t="shared" si="44"/>
        <v>-128571177</v>
      </c>
      <c r="AN216" s="99"/>
    </row>
    <row r="217" spans="17:45">
      <c r="Q217" s="99" t="s">
        <v>4691</v>
      </c>
      <c r="R217" s="95">
        <v>2145814</v>
      </c>
      <c r="T217" s="213" t="s">
        <v>4855</v>
      </c>
      <c r="U217" s="213">
        <v>-9176</v>
      </c>
      <c r="V217" s="113">
        <v>273.79649999999998</v>
      </c>
      <c r="W217" s="113">
        <f t="shared" si="42"/>
        <v>-2512356.6839999999</v>
      </c>
      <c r="X217" s="99" t="s">
        <v>452</v>
      </c>
      <c r="AH217" s="195">
        <v>21</v>
      </c>
      <c r="AI217" s="195" t="s">
        <v>4441</v>
      </c>
      <c r="AJ217" s="196">
        <v>-754351</v>
      </c>
      <c r="AK217" s="195">
        <v>0</v>
      </c>
      <c r="AL217" s="149">
        <f t="shared" si="45"/>
        <v>215</v>
      </c>
      <c r="AM217" s="195">
        <f t="shared" si="44"/>
        <v>-162185465</v>
      </c>
      <c r="AN217" s="195" t="s">
        <v>657</v>
      </c>
    </row>
    <row r="218" spans="17:45">
      <c r="Q218" s="99" t="s">
        <v>4703</v>
      </c>
      <c r="R218" s="95">
        <v>4369730</v>
      </c>
      <c r="T218" s="213" t="s">
        <v>4855</v>
      </c>
      <c r="U218" s="213">
        <v>1087</v>
      </c>
      <c r="V218" s="113">
        <v>273.79649999999998</v>
      </c>
      <c r="W218" s="113">
        <f t="shared" si="42"/>
        <v>297616.79550000001</v>
      </c>
      <c r="X218" s="99" t="s">
        <v>452</v>
      </c>
      <c r="AH218" s="99">
        <v>22</v>
      </c>
      <c r="AI218" s="99" t="s">
        <v>4441</v>
      </c>
      <c r="AJ218" s="117">
        <v>-189619</v>
      </c>
      <c r="AK218" s="99">
        <v>15</v>
      </c>
      <c r="AL218" s="99">
        <f t="shared" si="45"/>
        <v>215</v>
      </c>
      <c r="AM218" s="99">
        <f t="shared" si="44"/>
        <v>-40768085</v>
      </c>
      <c r="AN218" s="99"/>
      <c r="AS218" t="s">
        <v>25</v>
      </c>
    </row>
    <row r="219" spans="17:45">
      <c r="Q219" s="99" t="s">
        <v>4705</v>
      </c>
      <c r="R219" s="95">
        <v>8739459</v>
      </c>
      <c r="S219" t="s">
        <v>25</v>
      </c>
      <c r="T219" s="213" t="s">
        <v>981</v>
      </c>
      <c r="U219" s="213">
        <v>-4017</v>
      </c>
      <c r="V219" s="113">
        <v>273.79649999999998</v>
      </c>
      <c r="W219" s="113">
        <f t="shared" si="42"/>
        <v>-1099840.5404999999</v>
      </c>
      <c r="X219" s="99" t="s">
        <v>4448</v>
      </c>
      <c r="AH219" s="195">
        <v>23</v>
      </c>
      <c r="AI219" s="195" t="s">
        <v>4513</v>
      </c>
      <c r="AJ219" s="188">
        <v>7100</v>
      </c>
      <c r="AK219" s="195">
        <v>0</v>
      </c>
      <c r="AL219" s="149">
        <f t="shared" si="45"/>
        <v>200</v>
      </c>
      <c r="AM219" s="195">
        <f t="shared" si="44"/>
        <v>1420000</v>
      </c>
      <c r="AN219" s="195" t="s">
        <v>657</v>
      </c>
    </row>
    <row r="220" spans="17:45">
      <c r="Q220" s="99" t="s">
        <v>4714</v>
      </c>
      <c r="R220" s="95">
        <v>6667654</v>
      </c>
      <c r="T220" s="213" t="s">
        <v>981</v>
      </c>
      <c r="U220" s="213">
        <v>4017</v>
      </c>
      <c r="V220" s="113">
        <v>273.79649999999998</v>
      </c>
      <c r="W220" s="113">
        <f t="shared" si="42"/>
        <v>1099840.5404999999</v>
      </c>
      <c r="X220" s="99" t="s">
        <v>452</v>
      </c>
      <c r="AH220" s="20">
        <v>24</v>
      </c>
      <c r="AI220" s="20" t="s">
        <v>4513</v>
      </c>
      <c r="AJ220" s="117">
        <v>-147902</v>
      </c>
      <c r="AK220" s="20">
        <v>3</v>
      </c>
      <c r="AL220" s="99">
        <f t="shared" si="45"/>
        <v>200</v>
      </c>
      <c r="AM220" s="20">
        <f t="shared" si="44"/>
        <v>-29580400</v>
      </c>
      <c r="AN220" s="20"/>
    </row>
    <row r="221" spans="17:45">
      <c r="Q221" s="99" t="s">
        <v>4722</v>
      </c>
      <c r="R221" s="95">
        <v>8981245</v>
      </c>
      <c r="T221" s="213" t="s">
        <v>4864</v>
      </c>
      <c r="U221" s="213">
        <v>3137</v>
      </c>
      <c r="V221" s="113">
        <v>283.69110000000001</v>
      </c>
      <c r="W221" s="113">
        <f t="shared" si="42"/>
        <v>889938.98070000007</v>
      </c>
      <c r="X221" s="99" t="s">
        <v>452</v>
      </c>
      <c r="AH221" s="149">
        <v>25</v>
      </c>
      <c r="AI221" s="149" t="s">
        <v>4521</v>
      </c>
      <c r="AJ221" s="188">
        <v>-37200</v>
      </c>
      <c r="AK221" s="149">
        <v>4</v>
      </c>
      <c r="AL221" s="149">
        <f t="shared" si="45"/>
        <v>197</v>
      </c>
      <c r="AM221" s="195">
        <f t="shared" si="44"/>
        <v>-7328400</v>
      </c>
      <c r="AN221" s="149" t="s">
        <v>657</v>
      </c>
    </row>
    <row r="222" spans="17:45">
      <c r="Q222" s="99" t="s">
        <v>4727</v>
      </c>
      <c r="R222" s="95">
        <v>9181756</v>
      </c>
      <c r="T222" s="213" t="s">
        <v>4877</v>
      </c>
      <c r="U222" s="213">
        <v>101933</v>
      </c>
      <c r="V222" s="113">
        <v>294.30973999999998</v>
      </c>
      <c r="W222" s="113">
        <f t="shared" si="42"/>
        <v>29999874.727419998</v>
      </c>
      <c r="X222" s="99" t="s">
        <v>1087</v>
      </c>
      <c r="AH222" s="99">
        <v>26</v>
      </c>
      <c r="AI222" s="99" t="s">
        <v>4552</v>
      </c>
      <c r="AJ222" s="117">
        <v>-372326</v>
      </c>
      <c r="AK222" s="99">
        <v>21</v>
      </c>
      <c r="AL222" s="99">
        <f t="shared" si="45"/>
        <v>193</v>
      </c>
      <c r="AM222" s="20">
        <f t="shared" si="44"/>
        <v>-71858918</v>
      </c>
      <c r="AN222" s="99"/>
    </row>
    <row r="223" spans="17:45">
      <c r="Q223" s="99" t="s">
        <v>4731</v>
      </c>
      <c r="R223" s="95">
        <v>11811208</v>
      </c>
      <c r="S223" t="s">
        <v>25</v>
      </c>
      <c r="T223" s="213" t="s">
        <v>4885</v>
      </c>
      <c r="U223" s="213">
        <v>3407</v>
      </c>
      <c r="V223" s="113">
        <v>293.43799999999999</v>
      </c>
      <c r="W223" s="113">
        <f t="shared" si="42"/>
        <v>999743.26599999995</v>
      </c>
      <c r="X223" s="99" t="s">
        <v>452</v>
      </c>
      <c r="AH223" s="99">
        <v>27</v>
      </c>
      <c r="AI223" s="99" t="s">
        <v>4604</v>
      </c>
      <c r="AJ223" s="117">
        <v>235062</v>
      </c>
      <c r="AK223" s="99">
        <v>0</v>
      </c>
      <c r="AL223" s="99">
        <f t="shared" si="45"/>
        <v>172</v>
      </c>
      <c r="AM223" s="20">
        <f t="shared" si="44"/>
        <v>40430664</v>
      </c>
      <c r="AN223" s="99"/>
    </row>
    <row r="224" spans="17:45">
      <c r="Q224" s="99" t="s">
        <v>4745</v>
      </c>
      <c r="R224" s="95">
        <v>41248054</v>
      </c>
      <c r="S224" t="s">
        <v>25</v>
      </c>
      <c r="T224" s="213" t="s">
        <v>4886</v>
      </c>
      <c r="U224" s="213">
        <v>68796</v>
      </c>
      <c r="V224" s="113">
        <v>293.53250000000003</v>
      </c>
      <c r="W224" s="113">
        <f t="shared" si="42"/>
        <v>20193861.870000001</v>
      </c>
      <c r="X224" s="99" t="s">
        <v>751</v>
      </c>
      <c r="Z224" t="s">
        <v>25</v>
      </c>
      <c r="AH224" s="149">
        <v>28</v>
      </c>
      <c r="AI224" s="149" t="s">
        <v>4604</v>
      </c>
      <c r="AJ224" s="188">
        <v>235062</v>
      </c>
      <c r="AK224" s="149">
        <v>9</v>
      </c>
      <c r="AL224" s="99">
        <f t="shared" si="45"/>
        <v>172</v>
      </c>
      <c r="AM224" s="149">
        <f t="shared" si="44"/>
        <v>40430664</v>
      </c>
      <c r="AN224" s="149" t="s">
        <v>657</v>
      </c>
    </row>
    <row r="225" spans="17:44">
      <c r="Q225" s="99" t="s">
        <v>4753</v>
      </c>
      <c r="R225" s="95">
        <v>37328780</v>
      </c>
      <c r="T225" s="213" t="s">
        <v>4886</v>
      </c>
      <c r="U225" s="213">
        <v>154791</v>
      </c>
      <c r="V225" s="113">
        <v>293.53250000000003</v>
      </c>
      <c r="W225" s="113">
        <f t="shared" si="42"/>
        <v>45436189.207500003</v>
      </c>
      <c r="X225" s="99" t="s">
        <v>452</v>
      </c>
      <c r="AH225" s="149">
        <v>29</v>
      </c>
      <c r="AI225" s="149" t="s">
        <v>4628</v>
      </c>
      <c r="AJ225" s="188">
        <v>450000</v>
      </c>
      <c r="AK225" s="149">
        <v>0</v>
      </c>
      <c r="AL225" s="99">
        <f t="shared" si="45"/>
        <v>163</v>
      </c>
      <c r="AM225" s="149">
        <f t="shared" si="44"/>
        <v>73350000</v>
      </c>
      <c r="AN225" s="149" t="s">
        <v>657</v>
      </c>
    </row>
    <row r="226" spans="17:44">
      <c r="Q226" s="99" t="s">
        <v>4846</v>
      </c>
      <c r="R226" s="95">
        <v>-2194100</v>
      </c>
      <c r="T226" s="213" t="s">
        <v>4886</v>
      </c>
      <c r="U226" s="213">
        <v>-11923</v>
      </c>
      <c r="V226" s="113">
        <v>293.53250000000003</v>
      </c>
      <c r="W226" s="113">
        <f t="shared" si="42"/>
        <v>-3499787.9975000005</v>
      </c>
      <c r="X226" s="99" t="s">
        <v>452</v>
      </c>
      <c r="Y226" t="s">
        <v>25</v>
      </c>
      <c r="AH226" s="20">
        <v>30</v>
      </c>
      <c r="AI226" s="20" t="s">
        <v>4628</v>
      </c>
      <c r="AJ226" s="117">
        <v>450000</v>
      </c>
      <c r="AK226" s="20">
        <v>22</v>
      </c>
      <c r="AL226" s="99">
        <f>AK226+AL227</f>
        <v>163</v>
      </c>
      <c r="AM226" s="20">
        <f t="shared" si="44"/>
        <v>73350000</v>
      </c>
      <c r="AN226" s="20"/>
    </row>
    <row r="227" spans="17:44">
      <c r="Q227" s="99" t="s">
        <v>4886</v>
      </c>
      <c r="R227" s="95">
        <v>20193916</v>
      </c>
      <c r="T227" s="213" t="s">
        <v>4901</v>
      </c>
      <c r="U227" s="213">
        <v>8424</v>
      </c>
      <c r="V227" s="113">
        <v>299.15170000000001</v>
      </c>
      <c r="W227" s="113">
        <f t="shared" si="42"/>
        <v>2520053.9208</v>
      </c>
      <c r="X227" s="99" t="s">
        <v>452</v>
      </c>
      <c r="AH227" s="149">
        <v>31</v>
      </c>
      <c r="AI227" s="149" t="s">
        <v>4705</v>
      </c>
      <c r="AJ227" s="188">
        <v>300000</v>
      </c>
      <c r="AK227" s="149">
        <v>0</v>
      </c>
      <c r="AL227" s="149">
        <f t="shared" ref="AL227:AL242" si="46">AK227+AL228</f>
        <v>141</v>
      </c>
      <c r="AM227" s="149">
        <f t="shared" ref="AM227:AM230" si="47">AJ227*AL227</f>
        <v>42300000</v>
      </c>
      <c r="AN227" s="149"/>
    </row>
    <row r="228" spans="17:44" ht="30">
      <c r="Q228" s="99" t="s">
        <v>4967</v>
      </c>
      <c r="R228" s="95">
        <v>-2000000</v>
      </c>
      <c r="T228" s="213" t="s">
        <v>4938</v>
      </c>
      <c r="U228" s="213">
        <v>15943</v>
      </c>
      <c r="V228" s="113">
        <v>307.34415000000001</v>
      </c>
      <c r="W228" s="113">
        <f t="shared" si="42"/>
        <v>4899987.78345</v>
      </c>
      <c r="X228" s="99" t="s">
        <v>452</v>
      </c>
      <c r="Y228" s="96"/>
      <c r="AH228" s="121">
        <v>32</v>
      </c>
      <c r="AI228" s="121" t="s">
        <v>4705</v>
      </c>
      <c r="AJ228" s="79">
        <v>288936</v>
      </c>
      <c r="AK228" s="121">
        <v>3</v>
      </c>
      <c r="AL228" s="121">
        <f t="shared" si="46"/>
        <v>141</v>
      </c>
      <c r="AM228" s="121">
        <f t="shared" si="47"/>
        <v>40739976</v>
      </c>
      <c r="AN228" s="205" t="s">
        <v>4716</v>
      </c>
    </row>
    <row r="229" spans="17:44">
      <c r="Q229" s="99" t="s">
        <v>5056</v>
      </c>
      <c r="R229" s="95">
        <v>6800000</v>
      </c>
      <c r="S229" t="s">
        <v>25</v>
      </c>
      <c r="T229" s="213" t="s">
        <v>4961</v>
      </c>
      <c r="U229" s="213">
        <v>3741</v>
      </c>
      <c r="V229" s="113">
        <v>307.34415000000001</v>
      </c>
      <c r="W229" s="113">
        <f t="shared" si="42"/>
        <v>1149774.4651500001</v>
      </c>
      <c r="X229" s="99" t="s">
        <v>452</v>
      </c>
      <c r="Y229" t="s">
        <v>25</v>
      </c>
      <c r="AH229" s="121">
        <v>33</v>
      </c>
      <c r="AI229" s="121" t="s">
        <v>4714</v>
      </c>
      <c r="AJ229" s="79">
        <v>17962491</v>
      </c>
      <c r="AK229" s="121">
        <v>1</v>
      </c>
      <c r="AL229" s="121">
        <f t="shared" si="46"/>
        <v>138</v>
      </c>
      <c r="AM229" s="121">
        <f t="shared" si="47"/>
        <v>2478823758</v>
      </c>
      <c r="AN229" s="121" t="s">
        <v>4721</v>
      </c>
    </row>
    <row r="230" spans="17:44">
      <c r="Q230" s="99" t="s">
        <v>5072</v>
      </c>
      <c r="R230" s="95">
        <v>850000</v>
      </c>
      <c r="T230" s="213" t="s">
        <v>4967</v>
      </c>
      <c r="U230" s="213">
        <v>-6207</v>
      </c>
      <c r="V230" s="113">
        <v>322.214</v>
      </c>
      <c r="W230" s="113">
        <f t="shared" si="42"/>
        <v>-1999982.298</v>
      </c>
      <c r="X230" s="99" t="s">
        <v>751</v>
      </c>
      <c r="AH230" s="121">
        <v>34</v>
      </c>
      <c r="AI230" s="121" t="s">
        <v>3684</v>
      </c>
      <c r="AJ230" s="79">
        <v>18363511</v>
      </c>
      <c r="AK230" s="121">
        <v>1</v>
      </c>
      <c r="AL230" s="121">
        <f t="shared" si="46"/>
        <v>137</v>
      </c>
      <c r="AM230" s="121">
        <f t="shared" si="47"/>
        <v>2515801007</v>
      </c>
      <c r="AN230" s="121" t="s">
        <v>4721</v>
      </c>
      <c r="AQ230" t="s">
        <v>25</v>
      </c>
    </row>
    <row r="231" spans="17:44">
      <c r="Q231" s="99" t="s">
        <v>5082</v>
      </c>
      <c r="R231" s="95">
        <v>2290500</v>
      </c>
      <c r="T231" s="213" t="s">
        <v>4967</v>
      </c>
      <c r="U231" s="213">
        <v>6207</v>
      </c>
      <c r="V231" s="113">
        <v>322.214</v>
      </c>
      <c r="W231" s="113">
        <f t="shared" si="42"/>
        <v>1999982.298</v>
      </c>
      <c r="X231" s="99" t="s">
        <v>4448</v>
      </c>
      <c r="AH231" s="121">
        <v>35</v>
      </c>
      <c r="AI231" s="121" t="s">
        <v>4727</v>
      </c>
      <c r="AJ231" s="79">
        <v>23622417</v>
      </c>
      <c r="AK231" s="121">
        <v>5</v>
      </c>
      <c r="AL231" s="121">
        <f t="shared" si="46"/>
        <v>136</v>
      </c>
      <c r="AM231" s="121">
        <f t="shared" ref="AM231:AM234" si="48">AJ231*AL231</f>
        <v>3212648712</v>
      </c>
      <c r="AN231" s="121" t="s">
        <v>4730</v>
      </c>
    </row>
    <row r="232" spans="17:44">
      <c r="Q232" s="99" t="s">
        <v>5099</v>
      </c>
      <c r="R232" s="95">
        <v>400000</v>
      </c>
      <c r="S232" t="s">
        <v>25</v>
      </c>
      <c r="T232" s="213" t="s">
        <v>4910</v>
      </c>
      <c r="U232" s="213">
        <v>776</v>
      </c>
      <c r="V232" s="113">
        <v>322.214</v>
      </c>
      <c r="W232" s="113">
        <f t="shared" si="42"/>
        <v>250038.06400000001</v>
      </c>
      <c r="X232" s="99" t="s">
        <v>452</v>
      </c>
      <c r="AH232" s="121">
        <v>36</v>
      </c>
      <c r="AI232" s="121" t="s">
        <v>4743</v>
      </c>
      <c r="AJ232" s="79">
        <v>82496108</v>
      </c>
      <c r="AK232" s="121">
        <v>1</v>
      </c>
      <c r="AL232" s="121">
        <f t="shared" si="46"/>
        <v>131</v>
      </c>
      <c r="AM232" s="121">
        <f t="shared" si="48"/>
        <v>10806990148</v>
      </c>
      <c r="AN232" s="121" t="s">
        <v>4746</v>
      </c>
    </row>
    <row r="233" spans="17:44">
      <c r="Q233" s="99" t="s">
        <v>5109</v>
      </c>
      <c r="R233" s="95">
        <v>150000</v>
      </c>
      <c r="T233" s="213" t="s">
        <v>4998</v>
      </c>
      <c r="U233" s="213">
        <v>1524</v>
      </c>
      <c r="V233" s="113">
        <v>314.95999999999998</v>
      </c>
      <c r="W233" s="113">
        <f t="shared" si="42"/>
        <v>479999.04</v>
      </c>
      <c r="X233" s="99" t="s">
        <v>1087</v>
      </c>
      <c r="Y233" t="s">
        <v>25</v>
      </c>
      <c r="AH233" s="121">
        <v>37</v>
      </c>
      <c r="AI233" s="121" t="s">
        <v>4745</v>
      </c>
      <c r="AJ233" s="79">
        <v>74657561</v>
      </c>
      <c r="AK233" s="121">
        <v>16</v>
      </c>
      <c r="AL233" s="121">
        <f t="shared" si="46"/>
        <v>130</v>
      </c>
      <c r="AM233" s="121">
        <f t="shared" si="48"/>
        <v>9705482930</v>
      </c>
      <c r="AN233" s="121" t="s">
        <v>4752</v>
      </c>
    </row>
    <row r="234" spans="17:44">
      <c r="Q234" s="99"/>
      <c r="R234" s="95"/>
      <c r="T234" s="213" t="s">
        <v>5007</v>
      </c>
      <c r="U234" s="213">
        <v>4435</v>
      </c>
      <c r="V234" s="113">
        <v>316.4375</v>
      </c>
      <c r="W234" s="113">
        <f t="shared" si="42"/>
        <v>1403400.3125</v>
      </c>
      <c r="X234" s="99" t="s">
        <v>452</v>
      </c>
      <c r="AH234" s="99">
        <v>38</v>
      </c>
      <c r="AI234" s="99" t="s">
        <v>4827</v>
      </c>
      <c r="AJ234" s="117">
        <v>665000</v>
      </c>
      <c r="AK234" s="99">
        <v>0</v>
      </c>
      <c r="AL234" s="99">
        <f t="shared" si="46"/>
        <v>114</v>
      </c>
      <c r="AM234" s="20">
        <f t="shared" si="48"/>
        <v>75810000</v>
      </c>
      <c r="AN234" s="99"/>
    </row>
    <row r="235" spans="17:44">
      <c r="Q235" s="99"/>
      <c r="R235" s="95">
        <f>SUM(R206:R234)</f>
        <v>434726775</v>
      </c>
      <c r="T235" s="213" t="s">
        <v>5012</v>
      </c>
      <c r="U235" s="213">
        <v>624</v>
      </c>
      <c r="V235" s="113">
        <v>320.5</v>
      </c>
      <c r="W235" s="113">
        <f t="shared" si="42"/>
        <v>199992</v>
      </c>
      <c r="X235" s="99" t="s">
        <v>452</v>
      </c>
      <c r="Z235" t="s">
        <v>25</v>
      </c>
      <c r="AA235" t="s">
        <v>25</v>
      </c>
      <c r="AH235" s="149">
        <v>39</v>
      </c>
      <c r="AI235" s="149" t="s">
        <v>4827</v>
      </c>
      <c r="AJ235" s="188">
        <v>665000</v>
      </c>
      <c r="AK235" s="149">
        <v>4</v>
      </c>
      <c r="AL235" s="195">
        <f t="shared" si="46"/>
        <v>114</v>
      </c>
      <c r="AM235" s="195">
        <f t="shared" ref="AM235:AM236" si="49">AJ235*AL235</f>
        <v>75810000</v>
      </c>
      <c r="AN235" s="195"/>
    </row>
    <row r="236" spans="17:44">
      <c r="Q236" s="99"/>
      <c r="R236" s="99" t="s">
        <v>6</v>
      </c>
      <c r="S236" t="s">
        <v>25</v>
      </c>
      <c r="T236" s="213" t="s">
        <v>5019</v>
      </c>
      <c r="U236" s="213">
        <v>1086</v>
      </c>
      <c r="V236" s="113">
        <v>317.55</v>
      </c>
      <c r="W236" s="113">
        <f t="shared" si="42"/>
        <v>344859.3</v>
      </c>
      <c r="X236" s="99" t="s">
        <v>452</v>
      </c>
      <c r="AH236" s="20">
        <v>40</v>
      </c>
      <c r="AI236" s="20" t="s">
        <v>4841</v>
      </c>
      <c r="AJ236" s="117">
        <v>2000000</v>
      </c>
      <c r="AK236" s="20">
        <v>1</v>
      </c>
      <c r="AL236" s="99">
        <f t="shared" si="46"/>
        <v>110</v>
      </c>
      <c r="AM236" s="20">
        <f t="shared" si="49"/>
        <v>220000000</v>
      </c>
      <c r="AN236" s="99"/>
    </row>
    <row r="237" spans="17:44">
      <c r="T237" s="213" t="s">
        <v>5025</v>
      </c>
      <c r="U237" s="213">
        <v>2820</v>
      </c>
      <c r="V237" s="113">
        <v>319.1096</v>
      </c>
      <c r="W237" s="113">
        <f t="shared" si="42"/>
        <v>899889.07200000004</v>
      </c>
      <c r="X237" s="99" t="s">
        <v>452</v>
      </c>
      <c r="Y237" t="s">
        <v>25</v>
      </c>
      <c r="AH237" s="20">
        <v>41</v>
      </c>
      <c r="AI237" s="20" t="s">
        <v>4846</v>
      </c>
      <c r="AJ237" s="117">
        <v>-2060725</v>
      </c>
      <c r="AK237" s="20">
        <v>0</v>
      </c>
      <c r="AL237" s="99">
        <f t="shared" si="46"/>
        <v>109</v>
      </c>
      <c r="AM237" s="20">
        <f t="shared" ref="AM237:AM242" si="50">AJ237*AL237</f>
        <v>-224619025</v>
      </c>
      <c r="AN237" s="99" t="s">
        <v>4847</v>
      </c>
    </row>
    <row r="238" spans="17:44">
      <c r="T238" s="213" t="s">
        <v>5029</v>
      </c>
      <c r="U238" s="213">
        <v>1145</v>
      </c>
      <c r="V238" s="113">
        <v>325.44</v>
      </c>
      <c r="W238" s="113">
        <f t="shared" si="42"/>
        <v>372628.8</v>
      </c>
      <c r="X238" s="99" t="s">
        <v>452</v>
      </c>
      <c r="AH238" s="149">
        <v>42</v>
      </c>
      <c r="AI238" s="149" t="s">
        <v>4846</v>
      </c>
      <c r="AJ238" s="188">
        <v>-433375</v>
      </c>
      <c r="AK238" s="149">
        <v>0</v>
      </c>
      <c r="AL238" s="149">
        <f t="shared" si="46"/>
        <v>109</v>
      </c>
      <c r="AM238" s="149">
        <f t="shared" si="50"/>
        <v>-47237875</v>
      </c>
      <c r="AN238" s="149" t="s">
        <v>4848</v>
      </c>
      <c r="AR238" t="s">
        <v>25</v>
      </c>
    </row>
    <row r="239" spans="17:44">
      <c r="Q239" s="99" t="s">
        <v>452</v>
      </c>
      <c r="R239" s="99"/>
      <c r="T239" s="213" t="s">
        <v>5041</v>
      </c>
      <c r="U239" s="213">
        <v>20153</v>
      </c>
      <c r="V239" s="113">
        <v>322</v>
      </c>
      <c r="W239" s="113">
        <f t="shared" si="42"/>
        <v>6489266</v>
      </c>
      <c r="X239" s="99" t="s">
        <v>452</v>
      </c>
      <c r="AH239" s="20">
        <v>43</v>
      </c>
      <c r="AI239" s="20" t="s">
        <v>4846</v>
      </c>
      <c r="AJ239" s="117">
        <v>28000000</v>
      </c>
      <c r="AK239" s="20">
        <v>1</v>
      </c>
      <c r="AL239" s="99">
        <f t="shared" si="46"/>
        <v>109</v>
      </c>
      <c r="AM239" s="20">
        <f t="shared" si="50"/>
        <v>3052000000</v>
      </c>
      <c r="AN239" s="99" t="s">
        <v>3891</v>
      </c>
      <c r="AR239" t="s">
        <v>25</v>
      </c>
    </row>
    <row r="240" spans="17:44">
      <c r="Q240" s="99" t="s">
        <v>4441</v>
      </c>
      <c r="R240" s="95">
        <v>63115000</v>
      </c>
      <c r="T240" s="213" t="s">
        <v>5056</v>
      </c>
      <c r="U240" s="213">
        <v>93720</v>
      </c>
      <c r="V240" s="113">
        <v>325.435</v>
      </c>
      <c r="W240" s="113">
        <f t="shared" si="42"/>
        <v>30499768.199999999</v>
      </c>
      <c r="X240" s="99" t="s">
        <v>1087</v>
      </c>
      <c r="AH240" s="20">
        <v>44</v>
      </c>
      <c r="AI240" s="20" t="s">
        <v>4855</v>
      </c>
      <c r="AJ240" s="117">
        <v>160000</v>
      </c>
      <c r="AK240" s="20">
        <v>0</v>
      </c>
      <c r="AL240" s="99">
        <f t="shared" si="46"/>
        <v>108</v>
      </c>
      <c r="AM240" s="20">
        <f t="shared" si="50"/>
        <v>17280000</v>
      </c>
      <c r="AN240" s="99"/>
    </row>
    <row r="241" spans="17:43">
      <c r="Q241" s="99" t="s">
        <v>4495</v>
      </c>
      <c r="R241" s="95">
        <v>13300000</v>
      </c>
      <c r="T241" s="213" t="s">
        <v>5056</v>
      </c>
      <c r="U241" s="213">
        <v>20895</v>
      </c>
      <c r="V241" s="113">
        <v>325.435</v>
      </c>
      <c r="W241" s="113">
        <f t="shared" si="42"/>
        <v>6799964.3250000002</v>
      </c>
      <c r="X241" s="99" t="s">
        <v>751</v>
      </c>
      <c r="AH241" s="149">
        <v>45</v>
      </c>
      <c r="AI241" s="149" t="s">
        <v>4855</v>
      </c>
      <c r="AJ241" s="188">
        <v>70000</v>
      </c>
      <c r="AK241" s="149">
        <v>9</v>
      </c>
      <c r="AL241" s="149">
        <f t="shared" si="46"/>
        <v>108</v>
      </c>
      <c r="AM241" s="149">
        <f t="shared" si="50"/>
        <v>7560000</v>
      </c>
      <c r="AN241" s="149"/>
    </row>
    <row r="242" spans="17:43">
      <c r="Q242" s="99" t="s">
        <v>4503</v>
      </c>
      <c r="R242" s="95">
        <v>2269000</v>
      </c>
      <c r="T242" s="213" t="s">
        <v>5072</v>
      </c>
      <c r="U242" s="213">
        <v>2611</v>
      </c>
      <c r="V242" s="113">
        <v>325.435</v>
      </c>
      <c r="W242" s="113">
        <f t="shared" si="42"/>
        <v>849710.78500000003</v>
      </c>
      <c r="X242" s="99" t="s">
        <v>751</v>
      </c>
      <c r="AH242" s="20">
        <v>46</v>
      </c>
      <c r="AI242" s="20" t="s">
        <v>4864</v>
      </c>
      <c r="AJ242" s="117">
        <v>850000</v>
      </c>
      <c r="AK242" s="20">
        <v>0</v>
      </c>
      <c r="AL242" s="99">
        <f t="shared" si="46"/>
        <v>99</v>
      </c>
      <c r="AM242" s="20">
        <f t="shared" si="50"/>
        <v>84150000</v>
      </c>
      <c r="AN242" s="99"/>
    </row>
    <row r="243" spans="17:43">
      <c r="Q243" s="99" t="s">
        <v>4618</v>
      </c>
      <c r="R243" s="95">
        <v>25071612</v>
      </c>
      <c r="T243" s="213" t="s">
        <v>5082</v>
      </c>
      <c r="U243" s="213">
        <v>6750</v>
      </c>
      <c r="V243" s="113">
        <v>339.3</v>
      </c>
      <c r="W243" s="113">
        <f t="shared" si="42"/>
        <v>2290275</v>
      </c>
      <c r="X243" s="99" t="s">
        <v>751</v>
      </c>
      <c r="AH243" s="195">
        <v>47</v>
      </c>
      <c r="AI243" s="195" t="s">
        <v>4864</v>
      </c>
      <c r="AJ243" s="196">
        <v>20000</v>
      </c>
      <c r="AK243" s="195">
        <v>4</v>
      </c>
      <c r="AL243" s="195">
        <f t="shared" ref="AL243:AL251" si="51">AK243+AL244</f>
        <v>99</v>
      </c>
      <c r="AM243" s="195">
        <f t="shared" ref="AM243:AM251" si="52">AJ243*AL243</f>
        <v>1980000</v>
      </c>
      <c r="AN243" s="195"/>
    </row>
    <row r="244" spans="17:43">
      <c r="Q244" s="99" t="s">
        <v>4627</v>
      </c>
      <c r="R244" s="95">
        <v>42236984</v>
      </c>
      <c r="T244" s="213" t="s">
        <v>5099</v>
      </c>
      <c r="U244" s="213">
        <v>1850</v>
      </c>
      <c r="V244" s="113">
        <v>334.10050000000001</v>
      </c>
      <c r="W244" s="113">
        <f t="shared" si="42"/>
        <v>618085.92500000005</v>
      </c>
      <c r="X244" s="99" t="s">
        <v>452</v>
      </c>
      <c r="AH244" s="195">
        <v>48</v>
      </c>
      <c r="AI244" s="195" t="s">
        <v>4877</v>
      </c>
      <c r="AJ244" s="196">
        <v>30000000</v>
      </c>
      <c r="AK244" s="195">
        <v>27</v>
      </c>
      <c r="AL244" s="195">
        <f t="shared" si="51"/>
        <v>95</v>
      </c>
      <c r="AM244" s="195">
        <f t="shared" si="52"/>
        <v>2850000000</v>
      </c>
      <c r="AN244" s="195" t="s">
        <v>4879</v>
      </c>
    </row>
    <row r="245" spans="17:43">
      <c r="Q245" s="99" t="s">
        <v>4628</v>
      </c>
      <c r="R245" s="95">
        <v>19663646</v>
      </c>
      <c r="T245" s="213" t="s">
        <v>5099</v>
      </c>
      <c r="U245" s="213">
        <v>-1194</v>
      </c>
      <c r="V245" s="113">
        <v>335</v>
      </c>
      <c r="W245" s="113">
        <f t="shared" si="42"/>
        <v>-399990</v>
      </c>
      <c r="X245" s="99" t="s">
        <v>4448</v>
      </c>
      <c r="AH245" s="20">
        <v>49</v>
      </c>
      <c r="AI245" s="20" t="s">
        <v>4961</v>
      </c>
      <c r="AJ245" s="117">
        <v>1100000</v>
      </c>
      <c r="AK245" s="20">
        <v>1</v>
      </c>
      <c r="AL245" s="20">
        <f t="shared" si="51"/>
        <v>68</v>
      </c>
      <c r="AM245" s="20">
        <f t="shared" si="52"/>
        <v>74800000</v>
      </c>
      <c r="AN245" s="20"/>
    </row>
    <row r="246" spans="17:43">
      <c r="Q246" s="99" t="s">
        <v>4652</v>
      </c>
      <c r="R246" s="95">
        <v>4374525</v>
      </c>
      <c r="T246" s="213" t="s">
        <v>5099</v>
      </c>
      <c r="U246" s="213">
        <v>1194</v>
      </c>
      <c r="V246" s="113">
        <v>335</v>
      </c>
      <c r="W246" s="113">
        <f t="shared" si="42"/>
        <v>399990</v>
      </c>
      <c r="X246" s="99" t="s">
        <v>751</v>
      </c>
      <c r="AH246" s="20">
        <v>50</v>
      </c>
      <c r="AI246" s="20" t="s">
        <v>4963</v>
      </c>
      <c r="AJ246" s="117">
        <v>450000</v>
      </c>
      <c r="AK246" s="20">
        <v>0</v>
      </c>
      <c r="AL246" s="20">
        <f t="shared" si="51"/>
        <v>67</v>
      </c>
      <c r="AM246" s="20">
        <f t="shared" si="52"/>
        <v>30150000</v>
      </c>
      <c r="AN246" s="20"/>
    </row>
    <row r="247" spans="17:43">
      <c r="Q247" s="99" t="s">
        <v>4665</v>
      </c>
      <c r="R247" s="95">
        <v>6550580</v>
      </c>
      <c r="T247" s="213" t="s">
        <v>5109</v>
      </c>
      <c r="U247" s="213">
        <v>433</v>
      </c>
      <c r="V247" s="113">
        <v>345.68</v>
      </c>
      <c r="W247" s="113">
        <f t="shared" si="42"/>
        <v>149679.44</v>
      </c>
      <c r="X247" s="99" t="s">
        <v>751</v>
      </c>
      <c r="AH247" s="149">
        <v>51</v>
      </c>
      <c r="AI247" s="149" t="s">
        <v>4963</v>
      </c>
      <c r="AJ247" s="188">
        <v>550000</v>
      </c>
      <c r="AK247" s="149">
        <v>1</v>
      </c>
      <c r="AL247" s="149">
        <f t="shared" si="51"/>
        <v>67</v>
      </c>
      <c r="AM247" s="149">
        <f t="shared" si="52"/>
        <v>36850000</v>
      </c>
      <c r="AN247" s="149"/>
    </row>
    <row r="248" spans="17:43">
      <c r="Q248" s="99" t="s">
        <v>4667</v>
      </c>
      <c r="R248" s="95">
        <v>7054895</v>
      </c>
      <c r="T248" s="213" t="s">
        <v>5117</v>
      </c>
      <c r="U248" s="213">
        <v>55459</v>
      </c>
      <c r="V248" s="113">
        <v>362.51978000000003</v>
      </c>
      <c r="W248" s="113">
        <f t="shared" si="42"/>
        <v>20104984.479020003</v>
      </c>
      <c r="X248" s="99" t="s">
        <v>452</v>
      </c>
      <c r="AH248" s="149">
        <v>52</v>
      </c>
      <c r="AI248" s="149" t="s">
        <v>4965</v>
      </c>
      <c r="AJ248" s="188">
        <v>1000000</v>
      </c>
      <c r="AK248" s="149">
        <v>8</v>
      </c>
      <c r="AL248" s="149">
        <f t="shared" si="51"/>
        <v>66</v>
      </c>
      <c r="AM248" s="149">
        <f t="shared" si="52"/>
        <v>66000000</v>
      </c>
      <c r="AN248" s="149"/>
    </row>
    <row r="249" spans="17:43">
      <c r="Q249" s="99" t="s">
        <v>4691</v>
      </c>
      <c r="R249" s="95">
        <v>2145814</v>
      </c>
      <c r="T249" s="213" t="s">
        <v>5125</v>
      </c>
      <c r="U249" s="213">
        <v>-57770</v>
      </c>
      <c r="V249" s="113">
        <v>368.45400000000001</v>
      </c>
      <c r="W249" s="113">
        <f t="shared" si="42"/>
        <v>-21285587.580000002</v>
      </c>
      <c r="X249" s="99" t="s">
        <v>452</v>
      </c>
      <c r="AH249" s="20">
        <v>53</v>
      </c>
      <c r="AI249" s="20" t="s">
        <v>4975</v>
      </c>
      <c r="AJ249" s="117">
        <v>-2668880</v>
      </c>
      <c r="AK249" s="20">
        <v>0</v>
      </c>
      <c r="AL249" s="20">
        <f t="shared" si="51"/>
        <v>58</v>
      </c>
      <c r="AM249" s="20">
        <f t="shared" si="52"/>
        <v>-154795040</v>
      </c>
      <c r="AN249" s="20" t="s">
        <v>4977</v>
      </c>
      <c r="AP249" t="s">
        <v>25</v>
      </c>
    </row>
    <row r="250" spans="17:43">
      <c r="Q250" s="99" t="s">
        <v>4703</v>
      </c>
      <c r="R250" s="95">
        <v>4369730</v>
      </c>
      <c r="T250" s="213" t="s">
        <v>5128</v>
      </c>
      <c r="U250" s="213">
        <v>-15881</v>
      </c>
      <c r="V250" s="113">
        <v>374.61599999999999</v>
      </c>
      <c r="W250" s="113">
        <f t="shared" si="42"/>
        <v>-5949276.6959999995</v>
      </c>
      <c r="X250" s="99" t="s">
        <v>452</v>
      </c>
      <c r="Y250" t="s">
        <v>25</v>
      </c>
      <c r="AH250" s="149">
        <v>54</v>
      </c>
      <c r="AI250" s="149" t="s">
        <v>4975</v>
      </c>
      <c r="AJ250" s="188">
        <v>-1528620</v>
      </c>
      <c r="AK250" s="149">
        <v>0</v>
      </c>
      <c r="AL250" s="149">
        <f t="shared" si="51"/>
        <v>58</v>
      </c>
      <c r="AM250" s="149">
        <f t="shared" si="52"/>
        <v>-88659960</v>
      </c>
      <c r="AN250" s="149" t="s">
        <v>4977</v>
      </c>
    </row>
    <row r="251" spans="17:43">
      <c r="Q251" s="99" t="s">
        <v>4705</v>
      </c>
      <c r="R251" s="95">
        <v>8739459</v>
      </c>
      <c r="T251" s="213" t="s">
        <v>5140</v>
      </c>
      <c r="U251" s="213">
        <v>-41289</v>
      </c>
      <c r="V251" s="113">
        <v>372.27</v>
      </c>
      <c r="W251" s="113">
        <f t="shared" si="42"/>
        <v>-15370656.029999999</v>
      </c>
      <c r="X251" s="99" t="s">
        <v>452</v>
      </c>
      <c r="Y251" t="s">
        <v>25</v>
      </c>
      <c r="AH251" s="20">
        <v>55</v>
      </c>
      <c r="AI251" s="20" t="s">
        <v>4975</v>
      </c>
      <c r="AJ251" s="117">
        <v>50000000</v>
      </c>
      <c r="AK251" s="20">
        <v>4</v>
      </c>
      <c r="AL251" s="20">
        <f t="shared" si="51"/>
        <v>58</v>
      </c>
      <c r="AM251" s="20">
        <f t="shared" si="52"/>
        <v>2900000000</v>
      </c>
      <c r="AN251" s="20"/>
    </row>
    <row r="252" spans="17:43">
      <c r="Q252" s="99" t="s">
        <v>4714</v>
      </c>
      <c r="R252" s="95">
        <v>6667654</v>
      </c>
      <c r="T252" s="168"/>
      <c r="U252" s="168"/>
      <c r="V252" s="113"/>
      <c r="W252" s="113"/>
      <c r="X252" s="99"/>
      <c r="AH252" s="20">
        <v>56</v>
      </c>
      <c r="AI252" s="20" t="s">
        <v>4981</v>
      </c>
      <c r="AJ252" s="117">
        <v>400000</v>
      </c>
      <c r="AK252" s="20">
        <v>4</v>
      </c>
      <c r="AL252" s="20">
        <f t="shared" ref="AL252:AL261" si="53">AK252+AL253</f>
        <v>54</v>
      </c>
      <c r="AM252" s="20">
        <f t="shared" ref="AM252:AM261" si="54">AJ252*AL252</f>
        <v>21600000</v>
      </c>
      <c r="AN252" s="20"/>
    </row>
    <row r="253" spans="17:43">
      <c r="Q253" s="99" t="s">
        <v>3684</v>
      </c>
      <c r="R253" s="95">
        <v>8981245</v>
      </c>
      <c r="T253" s="168"/>
      <c r="U253" s="168">
        <f>SUM(U166:U252)</f>
        <v>3656235</v>
      </c>
      <c r="V253" s="99"/>
      <c r="W253" s="99"/>
      <c r="X253" s="99"/>
      <c r="AH253" s="20">
        <v>57</v>
      </c>
      <c r="AI253" s="20" t="s">
        <v>4998</v>
      </c>
      <c r="AJ253" s="117">
        <v>2000000</v>
      </c>
      <c r="AK253" s="20">
        <v>3</v>
      </c>
      <c r="AL253" s="20">
        <f t="shared" si="53"/>
        <v>50</v>
      </c>
      <c r="AM253" s="20">
        <f t="shared" si="54"/>
        <v>100000000</v>
      </c>
      <c r="AN253" s="20"/>
      <c r="AQ253" t="s">
        <v>25</v>
      </c>
    </row>
    <row r="254" spans="17:43">
      <c r="Q254" s="99" t="s">
        <v>4727</v>
      </c>
      <c r="R254" s="95">
        <v>9181756</v>
      </c>
      <c r="T254" s="99"/>
      <c r="U254" s="99" t="s">
        <v>6</v>
      </c>
      <c r="V254" s="99"/>
      <c r="W254" s="99"/>
      <c r="X254" s="99"/>
      <c r="AH254" s="20">
        <v>58</v>
      </c>
      <c r="AI254" s="20" t="s">
        <v>5001</v>
      </c>
      <c r="AJ254" s="117">
        <v>100000</v>
      </c>
      <c r="AK254" s="20">
        <v>4</v>
      </c>
      <c r="AL254" s="20">
        <f t="shared" si="53"/>
        <v>47</v>
      </c>
      <c r="AM254" s="20">
        <f t="shared" si="54"/>
        <v>4700000</v>
      </c>
      <c r="AN254" s="20" t="s">
        <v>3891</v>
      </c>
    </row>
    <row r="255" spans="17:43">
      <c r="Q255" s="99" t="s">
        <v>4731</v>
      </c>
      <c r="R255" s="95">
        <v>11811208</v>
      </c>
      <c r="T255" s="200" t="s">
        <v>4485</v>
      </c>
      <c r="AH255" s="20">
        <v>59</v>
      </c>
      <c r="AI255" s="20" t="s">
        <v>5012</v>
      </c>
      <c r="AJ255" s="117">
        <v>100000</v>
      </c>
      <c r="AK255" s="20">
        <v>7</v>
      </c>
      <c r="AL255" s="20">
        <f t="shared" si="53"/>
        <v>43</v>
      </c>
      <c r="AM255" s="20">
        <f t="shared" si="54"/>
        <v>4300000</v>
      </c>
      <c r="AN255" s="20"/>
    </row>
    <row r="256" spans="17:43">
      <c r="Q256" s="99" t="s">
        <v>4745</v>
      </c>
      <c r="R256" s="95">
        <v>41248054</v>
      </c>
      <c r="T256" s="199">
        <f>R179/U253</f>
        <v>372.54765702970406</v>
      </c>
      <c r="AH256" s="20">
        <v>60</v>
      </c>
      <c r="AI256" s="20" t="s">
        <v>5029</v>
      </c>
      <c r="AJ256" s="117">
        <v>50000</v>
      </c>
      <c r="AK256" s="20">
        <v>0</v>
      </c>
      <c r="AL256" s="20">
        <f t="shared" si="53"/>
        <v>36</v>
      </c>
      <c r="AM256" s="20">
        <f t="shared" si="54"/>
        <v>1800000</v>
      </c>
      <c r="AN256" s="20"/>
    </row>
    <row r="257" spans="17:45">
      <c r="Q257" s="99" t="s">
        <v>4753</v>
      </c>
      <c r="R257" s="95">
        <v>37328780</v>
      </c>
      <c r="W257" s="114"/>
      <c r="AH257" s="149">
        <v>61</v>
      </c>
      <c r="AI257" s="149" t="s">
        <v>5029</v>
      </c>
      <c r="AJ257" s="188">
        <v>50000</v>
      </c>
      <c r="AK257" s="149">
        <v>3</v>
      </c>
      <c r="AL257" s="149">
        <f t="shared" si="53"/>
        <v>36</v>
      </c>
      <c r="AM257" s="149">
        <f t="shared" si="54"/>
        <v>1800000</v>
      </c>
      <c r="AN257" s="149"/>
    </row>
    <row r="258" spans="17:45">
      <c r="Q258" s="99" t="s">
        <v>4761</v>
      </c>
      <c r="R258" s="95">
        <v>50000000</v>
      </c>
      <c r="U258" s="96" t="s">
        <v>267</v>
      </c>
      <c r="V258" t="s">
        <v>4486</v>
      </c>
      <c r="X258" t="s">
        <v>25</v>
      </c>
      <c r="AH258" s="20">
        <v>62</v>
      </c>
      <c r="AI258" s="20" t="s">
        <v>5034</v>
      </c>
      <c r="AJ258" s="117">
        <v>50000</v>
      </c>
      <c r="AK258" s="20">
        <v>0</v>
      </c>
      <c r="AL258" s="20">
        <f t="shared" si="53"/>
        <v>33</v>
      </c>
      <c r="AM258" s="20">
        <f t="shared" si="54"/>
        <v>1650000</v>
      </c>
      <c r="AN258" s="20"/>
    </row>
    <row r="259" spans="17:45">
      <c r="Q259" s="99" t="s">
        <v>4827</v>
      </c>
      <c r="R259" s="95">
        <v>68656</v>
      </c>
      <c r="T259" s="114"/>
      <c r="U259" s="113">
        <v>15382124</v>
      </c>
      <c r="V259">
        <f>U259/T256</f>
        <v>41289.010170243935</v>
      </c>
      <c r="X259" t="s">
        <v>25</v>
      </c>
      <c r="AH259" s="195">
        <v>63</v>
      </c>
      <c r="AI259" s="195" t="s">
        <v>5034</v>
      </c>
      <c r="AJ259" s="196">
        <v>50000</v>
      </c>
      <c r="AK259" s="195">
        <v>2</v>
      </c>
      <c r="AL259" s="195">
        <f t="shared" si="53"/>
        <v>33</v>
      </c>
      <c r="AM259" s="195">
        <f t="shared" si="54"/>
        <v>1650000</v>
      </c>
      <c r="AN259" s="195"/>
    </row>
    <row r="260" spans="17:45">
      <c r="Q260" s="99" t="s">
        <v>4841</v>
      </c>
      <c r="R260" s="95">
        <v>4000236</v>
      </c>
      <c r="X260" t="s">
        <v>25</v>
      </c>
      <c r="AH260" s="20">
        <v>64</v>
      </c>
      <c r="AI260" s="20" t="s">
        <v>5044</v>
      </c>
      <c r="AJ260" s="117">
        <v>25000</v>
      </c>
      <c r="AK260" s="20">
        <v>0</v>
      </c>
      <c r="AL260" s="20">
        <f t="shared" si="53"/>
        <v>31</v>
      </c>
      <c r="AM260" s="20">
        <f t="shared" si="54"/>
        <v>775000</v>
      </c>
      <c r="AN260" s="20"/>
    </row>
    <row r="261" spans="17:45">
      <c r="Q261" s="99" t="s">
        <v>4841</v>
      </c>
      <c r="R261" s="95">
        <v>2250000</v>
      </c>
      <c r="W261" s="223"/>
      <c r="X261" s="96" t="s">
        <v>25</v>
      </c>
      <c r="AH261" s="149">
        <v>65</v>
      </c>
      <c r="AI261" s="149" t="s">
        <v>5044</v>
      </c>
      <c r="AJ261" s="188">
        <v>35000</v>
      </c>
      <c r="AK261" s="149">
        <v>7</v>
      </c>
      <c r="AL261" s="149">
        <f t="shared" si="53"/>
        <v>31</v>
      </c>
      <c r="AM261" s="149">
        <f t="shared" si="54"/>
        <v>1085000</v>
      </c>
      <c r="AN261" s="149"/>
    </row>
    <row r="262" spans="17:45">
      <c r="Q262" s="99" t="s">
        <v>4846</v>
      </c>
      <c r="R262" s="95">
        <v>-2512200</v>
      </c>
      <c r="X262" t="s">
        <v>25</v>
      </c>
      <c r="AH262" s="149">
        <v>66</v>
      </c>
      <c r="AI262" s="149" t="s">
        <v>5056</v>
      </c>
      <c r="AJ262" s="188">
        <v>30000000</v>
      </c>
      <c r="AK262" s="149">
        <v>0</v>
      </c>
      <c r="AL262" s="149">
        <f t="shared" ref="AL262:AL285" si="55">AK262+AL263</f>
        <v>24</v>
      </c>
      <c r="AM262" s="149">
        <f t="shared" ref="AM262:AM285" si="56">AJ262*AL262</f>
        <v>720000000</v>
      </c>
      <c r="AN262" s="149"/>
    </row>
    <row r="263" spans="17:45">
      <c r="Q263" s="99" t="s">
        <v>4855</v>
      </c>
      <c r="R263" s="95">
        <v>300000</v>
      </c>
      <c r="X263" t="s">
        <v>25</v>
      </c>
      <c r="AH263" s="20">
        <v>67</v>
      </c>
      <c r="AI263" s="20" t="s">
        <v>5056</v>
      </c>
      <c r="AJ263" s="117">
        <v>6800000</v>
      </c>
      <c r="AK263" s="20">
        <v>1</v>
      </c>
      <c r="AL263" s="20">
        <f t="shared" si="55"/>
        <v>24</v>
      </c>
      <c r="AM263" s="20">
        <f t="shared" si="56"/>
        <v>163200000</v>
      </c>
      <c r="AN263" s="20"/>
    </row>
    <row r="264" spans="17:45" ht="60">
      <c r="Q264" s="99" t="s">
        <v>981</v>
      </c>
      <c r="R264" s="95">
        <v>1100000</v>
      </c>
      <c r="T264" s="22" t="s">
        <v>4469</v>
      </c>
      <c r="V264" s="223"/>
      <c r="AH264" s="20">
        <v>68</v>
      </c>
      <c r="AI264" s="20" t="s">
        <v>5064</v>
      </c>
      <c r="AJ264" s="117">
        <v>500000</v>
      </c>
      <c r="AK264" s="20">
        <v>1</v>
      </c>
      <c r="AL264" s="20">
        <f t="shared" si="55"/>
        <v>23</v>
      </c>
      <c r="AM264" s="20">
        <f t="shared" si="56"/>
        <v>11500000</v>
      </c>
      <c r="AN264" s="20"/>
    </row>
    <row r="265" spans="17:45" ht="45">
      <c r="Q265" s="99" t="s">
        <v>4864</v>
      </c>
      <c r="R265" s="95">
        <v>890000</v>
      </c>
      <c r="T265" s="22" t="s">
        <v>4470</v>
      </c>
      <c r="AH265" s="20">
        <v>69</v>
      </c>
      <c r="AI265" s="20" t="s">
        <v>5072</v>
      </c>
      <c r="AJ265" s="117">
        <v>850000</v>
      </c>
      <c r="AK265" s="20">
        <v>5</v>
      </c>
      <c r="AL265" s="20">
        <f t="shared" si="55"/>
        <v>22</v>
      </c>
      <c r="AM265" s="20">
        <f t="shared" si="56"/>
        <v>18700000</v>
      </c>
      <c r="AN265" s="20"/>
    </row>
    <row r="266" spans="17:45">
      <c r="Q266" s="99" t="s">
        <v>4885</v>
      </c>
      <c r="R266" s="95">
        <v>1000000</v>
      </c>
      <c r="AH266" s="20">
        <v>70</v>
      </c>
      <c r="AI266" s="20" t="s">
        <v>5082</v>
      </c>
      <c r="AJ266" s="117">
        <v>1130250</v>
      </c>
      <c r="AK266" s="20">
        <v>0</v>
      </c>
      <c r="AL266" s="20">
        <f t="shared" si="55"/>
        <v>17</v>
      </c>
      <c r="AM266" s="20">
        <f t="shared" si="56"/>
        <v>19214250</v>
      </c>
      <c r="AN266" s="20"/>
    </row>
    <row r="267" spans="17:45">
      <c r="Q267" s="99" t="s">
        <v>4886</v>
      </c>
      <c r="R267" s="95">
        <v>45436311</v>
      </c>
      <c r="Y267" t="s">
        <v>25</v>
      </c>
      <c r="AH267" s="261">
        <v>71</v>
      </c>
      <c r="AI267" s="261" t="s">
        <v>5082</v>
      </c>
      <c r="AJ267" s="252">
        <v>30000</v>
      </c>
      <c r="AK267" s="261">
        <v>5</v>
      </c>
      <c r="AL267" s="261">
        <f t="shared" si="55"/>
        <v>17</v>
      </c>
      <c r="AM267" s="261">
        <f t="shared" si="56"/>
        <v>510000</v>
      </c>
      <c r="AN267" s="261"/>
      <c r="AS267" t="s">
        <v>25</v>
      </c>
    </row>
    <row r="268" spans="17:45">
      <c r="Q268" s="99" t="s">
        <v>4886</v>
      </c>
      <c r="R268" s="95">
        <v>-3500000</v>
      </c>
      <c r="T268" s="99" t="s">
        <v>4487</v>
      </c>
      <c r="U268" s="99" t="s">
        <v>4458</v>
      </c>
      <c r="V268" s="99" t="s">
        <v>953</v>
      </c>
      <c r="AH268" s="20">
        <v>72</v>
      </c>
      <c r="AI268" s="20" t="s">
        <v>5099</v>
      </c>
      <c r="AJ268" s="117">
        <v>206000</v>
      </c>
      <c r="AK268" s="20">
        <v>0</v>
      </c>
      <c r="AL268" s="20">
        <f t="shared" si="55"/>
        <v>12</v>
      </c>
      <c r="AM268" s="20">
        <f t="shared" si="56"/>
        <v>2472000</v>
      </c>
      <c r="AN268" s="20"/>
    </row>
    <row r="269" spans="17:45">
      <c r="Q269" s="99" t="s">
        <v>4901</v>
      </c>
      <c r="R269" s="95">
        <v>2520000</v>
      </c>
      <c r="T269" s="95">
        <f>S199+R235+R285</f>
        <v>918286070</v>
      </c>
      <c r="U269" s="95">
        <f>R179</f>
        <v>1362121782.8</v>
      </c>
      <c r="V269" s="95">
        <f>U269-T269</f>
        <v>443835712.79999995</v>
      </c>
      <c r="AH269" s="149">
        <v>73</v>
      </c>
      <c r="AI269" s="149" t="s">
        <v>5099</v>
      </c>
      <c r="AJ269" s="188">
        <v>206000</v>
      </c>
      <c r="AK269" s="149">
        <v>2</v>
      </c>
      <c r="AL269" s="149">
        <f t="shared" si="55"/>
        <v>12</v>
      </c>
      <c r="AM269" s="149">
        <f t="shared" si="56"/>
        <v>2472000</v>
      </c>
      <c r="AN269" s="149"/>
    </row>
    <row r="270" spans="17:45">
      <c r="Q270" s="99" t="s">
        <v>4938</v>
      </c>
      <c r="R270" s="95">
        <v>4900000</v>
      </c>
      <c r="AH270" s="20">
        <v>74</v>
      </c>
      <c r="AI270" s="20" t="s">
        <v>5109</v>
      </c>
      <c r="AJ270" s="117">
        <v>50000</v>
      </c>
      <c r="AK270" s="20">
        <v>0</v>
      </c>
      <c r="AL270" s="20">
        <f t="shared" si="55"/>
        <v>10</v>
      </c>
      <c r="AM270" s="20">
        <f t="shared" si="56"/>
        <v>500000</v>
      </c>
      <c r="AN270" s="20"/>
    </row>
    <row r="271" spans="17:45">
      <c r="Q271" s="99" t="s">
        <v>4961</v>
      </c>
      <c r="R271" s="95">
        <v>1150000</v>
      </c>
      <c r="AH271" s="261">
        <v>75</v>
      </c>
      <c r="AI271" s="261" t="s">
        <v>5109</v>
      </c>
      <c r="AJ271" s="252">
        <v>50000</v>
      </c>
      <c r="AK271" s="261">
        <v>2</v>
      </c>
      <c r="AL271" s="261">
        <f t="shared" si="55"/>
        <v>10</v>
      </c>
      <c r="AM271" s="261">
        <f t="shared" si="56"/>
        <v>500000</v>
      </c>
      <c r="AN271" s="261"/>
      <c r="AR271" t="s">
        <v>25</v>
      </c>
    </row>
    <row r="272" spans="17:45">
      <c r="Q272" s="99" t="s">
        <v>4910</v>
      </c>
      <c r="R272" s="95">
        <v>250000</v>
      </c>
      <c r="AH272" s="20">
        <v>76</v>
      </c>
      <c r="AI272" s="20" t="s">
        <v>5117</v>
      </c>
      <c r="AJ272" s="117">
        <v>20000000</v>
      </c>
      <c r="AK272" s="20">
        <v>7</v>
      </c>
      <c r="AL272" s="20">
        <f t="shared" si="55"/>
        <v>8</v>
      </c>
      <c r="AM272" s="20">
        <f t="shared" si="56"/>
        <v>160000000</v>
      </c>
      <c r="AN272" s="20" t="s">
        <v>5118</v>
      </c>
    </row>
    <row r="273" spans="17:40">
      <c r="Q273" s="99" t="s">
        <v>5007</v>
      </c>
      <c r="R273" s="95">
        <v>1403460</v>
      </c>
      <c r="AH273" s="20">
        <v>77</v>
      </c>
      <c r="AI273" s="20" t="s">
        <v>5140</v>
      </c>
      <c r="AJ273" s="117">
        <v>50000</v>
      </c>
      <c r="AK273" s="20">
        <v>0</v>
      </c>
      <c r="AL273" s="20">
        <f t="shared" si="55"/>
        <v>1</v>
      </c>
      <c r="AM273" s="20">
        <f t="shared" si="56"/>
        <v>50000</v>
      </c>
      <c r="AN273" s="20"/>
    </row>
    <row r="274" spans="17:40">
      <c r="Q274" s="99" t="s">
        <v>5012</v>
      </c>
      <c r="R274" s="95">
        <v>200000</v>
      </c>
      <c r="T274" t="s">
        <v>25</v>
      </c>
      <c r="AH274" s="149">
        <v>78</v>
      </c>
      <c r="AI274" s="149" t="s">
        <v>5140</v>
      </c>
      <c r="AJ274" s="188">
        <v>50000</v>
      </c>
      <c r="AK274" s="149">
        <v>1</v>
      </c>
      <c r="AL274" s="149">
        <f t="shared" si="55"/>
        <v>1</v>
      </c>
      <c r="AM274" s="149">
        <f t="shared" si="56"/>
        <v>50000</v>
      </c>
      <c r="AN274" s="149"/>
    </row>
    <row r="275" spans="17:40">
      <c r="Q275" s="99" t="s">
        <v>5019</v>
      </c>
      <c r="R275" s="95">
        <v>345000</v>
      </c>
      <c r="T275" t="s">
        <v>25</v>
      </c>
      <c r="AH275" s="20"/>
      <c r="AI275" s="20"/>
      <c r="AJ275" s="117"/>
      <c r="AK275" s="20"/>
      <c r="AL275" s="20">
        <f t="shared" si="55"/>
        <v>0</v>
      </c>
      <c r="AM275" s="20">
        <f t="shared" si="56"/>
        <v>0</v>
      </c>
      <c r="AN275" s="20"/>
    </row>
    <row r="276" spans="17:40">
      <c r="Q276" s="99" t="s">
        <v>5025</v>
      </c>
      <c r="R276" s="95">
        <v>900000</v>
      </c>
      <c r="AH276" s="20"/>
      <c r="AI276" s="20"/>
      <c r="AJ276" s="117"/>
      <c r="AK276" s="20"/>
      <c r="AL276" s="20">
        <f t="shared" si="55"/>
        <v>0</v>
      </c>
      <c r="AM276" s="20">
        <f t="shared" si="56"/>
        <v>0</v>
      </c>
      <c r="AN276" s="20"/>
    </row>
    <row r="277" spans="17:40">
      <c r="Q277" s="99" t="s">
        <v>5029</v>
      </c>
      <c r="R277" s="95">
        <v>372517</v>
      </c>
      <c r="T277" t="s">
        <v>25</v>
      </c>
      <c r="AH277" s="20"/>
      <c r="AI277" s="20"/>
      <c r="AJ277" s="117"/>
      <c r="AK277" s="20"/>
      <c r="AL277" s="20">
        <f t="shared" si="55"/>
        <v>0</v>
      </c>
      <c r="AM277" s="20">
        <f t="shared" si="56"/>
        <v>0</v>
      </c>
      <c r="AN277" s="20"/>
    </row>
    <row r="278" spans="17:40">
      <c r="Q278" s="99" t="s">
        <v>5041</v>
      </c>
      <c r="R278" s="95">
        <v>6489257</v>
      </c>
      <c r="T278" t="s">
        <v>25</v>
      </c>
      <c r="AH278" s="20"/>
      <c r="AI278" s="20"/>
      <c r="AJ278" s="117"/>
      <c r="AK278" s="20"/>
      <c r="AL278" s="20">
        <f t="shared" si="55"/>
        <v>0</v>
      </c>
      <c r="AM278" s="20">
        <f t="shared" si="56"/>
        <v>0</v>
      </c>
      <c r="AN278" s="20"/>
    </row>
    <row r="279" spans="17:40">
      <c r="Q279" s="99" t="s">
        <v>5099</v>
      </c>
      <c r="R279" s="95">
        <v>618000</v>
      </c>
      <c r="AH279" s="20"/>
      <c r="AI279" s="20"/>
      <c r="AJ279" s="117"/>
      <c r="AK279" s="20"/>
      <c r="AL279" s="20">
        <f t="shared" si="55"/>
        <v>0</v>
      </c>
      <c r="AM279" s="20">
        <f t="shared" si="56"/>
        <v>0</v>
      </c>
      <c r="AN279" s="20"/>
    </row>
    <row r="280" spans="17:40">
      <c r="Q280" s="99" t="s">
        <v>5117</v>
      </c>
      <c r="R280" s="95">
        <v>20105000</v>
      </c>
      <c r="AH280" s="20"/>
      <c r="AI280" s="20"/>
      <c r="AJ280" s="117"/>
      <c r="AK280" s="20"/>
      <c r="AL280" s="20">
        <f t="shared" si="55"/>
        <v>0</v>
      </c>
      <c r="AM280" s="20">
        <f t="shared" si="56"/>
        <v>0</v>
      </c>
      <c r="AN280" s="20"/>
    </row>
    <row r="281" spans="17:40">
      <c r="Q281" s="99" t="s">
        <v>5125</v>
      </c>
      <c r="R281" s="95">
        <v>-21285588</v>
      </c>
      <c r="T281" t="s">
        <v>25</v>
      </c>
      <c r="AH281" s="20"/>
      <c r="AI281" s="20"/>
      <c r="AJ281" s="117"/>
      <c r="AK281" s="20"/>
      <c r="AL281" s="20">
        <f t="shared" si="55"/>
        <v>0</v>
      </c>
      <c r="AM281" s="20">
        <f t="shared" si="56"/>
        <v>0</v>
      </c>
      <c r="AN281" s="20"/>
    </row>
    <row r="282" spans="17:40">
      <c r="Q282" s="99" t="s">
        <v>5128</v>
      </c>
      <c r="R282" s="95">
        <v>-5949277</v>
      </c>
      <c r="T282" t="s">
        <v>25</v>
      </c>
      <c r="AH282" s="20"/>
      <c r="AI282" s="20"/>
      <c r="AJ282" s="117"/>
      <c r="AK282" s="20"/>
      <c r="AL282" s="20">
        <f t="shared" si="55"/>
        <v>0</v>
      </c>
      <c r="AM282" s="20">
        <f t="shared" si="56"/>
        <v>0</v>
      </c>
      <c r="AN282" s="20"/>
    </row>
    <row r="283" spans="17:40">
      <c r="Q283" s="99" t="s">
        <v>5140</v>
      </c>
      <c r="R283" s="95">
        <v>-15382124</v>
      </c>
      <c r="AH283" s="20"/>
      <c r="AI283" s="20"/>
      <c r="AJ283" s="117"/>
      <c r="AK283" s="20"/>
      <c r="AL283" s="20">
        <f t="shared" si="55"/>
        <v>0</v>
      </c>
      <c r="AM283" s="20">
        <f t="shared" si="56"/>
        <v>0</v>
      </c>
      <c r="AN283" s="20"/>
    </row>
    <row r="284" spans="17:40">
      <c r="Q284" s="99"/>
      <c r="R284" s="95"/>
      <c r="T284" t="s">
        <v>25</v>
      </c>
      <c r="AH284" s="99"/>
      <c r="AI284" s="99"/>
      <c r="AJ284" s="117"/>
      <c r="AK284" s="99"/>
      <c r="AL284" s="20">
        <f t="shared" si="55"/>
        <v>0</v>
      </c>
      <c r="AM284" s="20">
        <f t="shared" si="56"/>
        <v>0</v>
      </c>
      <c r="AN284" s="20"/>
    </row>
    <row r="285" spans="17:40">
      <c r="Q285" s="99"/>
      <c r="R285" s="95">
        <f>SUM(R240:R284)</f>
        <v>409779190</v>
      </c>
      <c r="T285" t="s">
        <v>25</v>
      </c>
      <c r="AH285" s="99"/>
      <c r="AI285" s="99"/>
      <c r="AJ285" s="117"/>
      <c r="AK285" s="99"/>
      <c r="AL285" s="99">
        <f t="shared" si="55"/>
        <v>0</v>
      </c>
      <c r="AM285" s="99">
        <f t="shared" si="56"/>
        <v>0</v>
      </c>
      <c r="AN285" s="99"/>
    </row>
    <row r="286" spans="17:40">
      <c r="Q286" s="99"/>
      <c r="R286" s="99" t="s">
        <v>6</v>
      </c>
      <c r="AH286" s="99"/>
      <c r="AI286" s="99"/>
      <c r="AJ286" s="95">
        <f>SUM(AJ197:AJ285)</f>
        <v>418201848</v>
      </c>
      <c r="AK286" s="99"/>
      <c r="AL286" s="99"/>
      <c r="AM286" s="99">
        <f>SUM(AM197:AM285)</f>
        <v>46946556133</v>
      </c>
      <c r="AN286" s="95">
        <f>AM286*AN183/31</f>
        <v>25240588.744151969</v>
      </c>
    </row>
    <row r="287" spans="17:40">
      <c r="T287" t="s">
        <v>25</v>
      </c>
      <c r="AJ287" t="s">
        <v>4059</v>
      </c>
      <c r="AM287" t="s">
        <v>284</v>
      </c>
      <c r="AN287" t="s">
        <v>943</v>
      </c>
    </row>
    <row r="288" spans="17:40">
      <c r="T288" t="s">
        <v>25</v>
      </c>
    </row>
    <row r="289" spans="16:40">
      <c r="T289" t="s">
        <v>25</v>
      </c>
      <c r="AI289" t="s">
        <v>4061</v>
      </c>
      <c r="AJ289" s="114">
        <f>AJ286+AN286</f>
        <v>443442436.74415195</v>
      </c>
    </row>
    <row r="290" spans="16:40">
      <c r="T290" t="s">
        <v>25</v>
      </c>
      <c r="AI290" t="s">
        <v>4064</v>
      </c>
      <c r="AJ290" s="114">
        <f>SUM(N20:N33)</f>
        <v>560972215.5</v>
      </c>
    </row>
    <row r="291" spans="16:40">
      <c r="AI291" t="s">
        <v>4136</v>
      </c>
      <c r="AJ291" s="114">
        <f>AJ290-AJ286</f>
        <v>142770367.5</v>
      </c>
    </row>
    <row r="292" spans="16:40">
      <c r="AI292" t="s">
        <v>943</v>
      </c>
      <c r="AJ292" s="114">
        <f>AN286</f>
        <v>25240588.744151969</v>
      </c>
    </row>
    <row r="293" spans="16:40">
      <c r="AI293" t="s">
        <v>4065</v>
      </c>
      <c r="AJ293" s="114">
        <f>AJ291-AJ292</f>
        <v>117529778.75584804</v>
      </c>
      <c r="AN293" t="s">
        <v>25</v>
      </c>
    </row>
    <row r="294" spans="16:40">
      <c r="R294" t="s">
        <v>25</v>
      </c>
      <c r="AN294" t="s">
        <v>25</v>
      </c>
    </row>
    <row r="297" spans="16:40">
      <c r="AN297" t="s">
        <v>25</v>
      </c>
    </row>
    <row r="300" spans="16:40">
      <c r="P300"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7:G120 G122 G102:G109 G111 G127:G128 G131:G135 G137:G1048576">
    <cfRule type="cellIs" dxfId="9" priority="12" operator="lessThan">
      <formula>0</formula>
    </cfRule>
  </conditionalFormatting>
  <conditionalFormatting sqref="G112">
    <cfRule type="cellIs" dxfId="8" priority="3" operator="lessThan">
      <formula>0</formula>
    </cfRule>
  </conditionalFormatting>
  <conditionalFormatting sqref="G113 G115">
    <cfRule type="cellIs" dxfId="7" priority="4" operator="lessThan">
      <formula>0</formula>
    </cfRule>
  </conditionalFormatting>
  <conditionalFormatting sqref="G116">
    <cfRule type="cellIs" dxfId="6" priority="1" operator="lessThan">
      <formula>0</formula>
    </cfRule>
  </conditionalFormatting>
  <conditionalFormatting sqref="G110">
    <cfRule type="cellIs" dxfId="5" priority="5" operator="lessThan">
      <formula>0</formula>
    </cfRule>
  </conditionalFormatting>
  <conditionalFormatting sqref="G114">
    <cfRule type="cellIs" dxfId="4" priority="2" operator="lessThan">
      <formula>0</formula>
    </cfRule>
  </conditionalFormatting>
  <pageMargins left="0.7" right="0.7" top="0.75" bottom="0.75" header="0.3" footer="0.3"/>
  <pageSetup orientation="portrait" r:id="rId1"/>
  <ignoredErrors>
    <ignoredError sqref="N10" formulaRange="1"/>
    <ignoredError sqref="S25 S106 S36 G123 S114 S120 S126 S47 S77 S132 S134 P2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2019-07-03T11:21:48Z</dcterms:modified>
</cp:coreProperties>
</file>