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شهریور97" sheetId="46" r:id="rId38"/>
    <sheet name="لیست خرید و فروش" sheetId="32" r:id="rId39"/>
    <sheet name="اوراق بدون ریسک" sheetId="33" r:id="rId40"/>
    <sheet name="نکات" sheetId="35" r:id="rId41"/>
    <sheet name="سکه" sheetId="36" r:id="rId42"/>
    <sheet name="apply" sheetId="37" r:id="rId43"/>
    <sheet name="بیمه" sheetId="39" r:id="rId44"/>
    <sheet name="آرشیو قیمت ارجینال" sheetId="40" r:id="rId45"/>
    <sheet name="تحلیل1" sheetId="41" r:id="rId46"/>
  </sheets>
  <calcPr calcId="145621"/>
</workbook>
</file>

<file path=xl/calcChain.xml><?xml version="1.0" encoding="utf-8"?>
<calcChain xmlns="http://schemas.openxmlformats.org/spreadsheetml/2006/main">
  <c r="Q39" i="18" l="1"/>
  <c r="N21" i="18"/>
  <c r="P21" i="18"/>
  <c r="N20" i="18"/>
  <c r="P20" i="18"/>
  <c r="N36" i="18"/>
  <c r="Q43" i="18"/>
  <c r="P19" i="18"/>
  <c r="N19" i="18" s="1"/>
  <c r="D72" i="48"/>
  <c r="B263" i="15"/>
  <c r="R43" i="18" l="1"/>
  <c r="S33" i="18"/>
  <c r="N35" i="18" l="1"/>
  <c r="S34" i="18" l="1"/>
  <c r="S35" i="18" s="1"/>
  <c r="S36" i="18" s="1"/>
  <c r="P34" i="18"/>
  <c r="C8" i="36" l="1"/>
  <c r="C267" i="20" l="1"/>
  <c r="B8" i="36" l="1"/>
  <c r="B10" i="36" l="1"/>
  <c r="AP24" i="18" l="1"/>
  <c r="N23" i="33" l="1"/>
  <c r="N22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3" i="33"/>
  <c r="G23" i="33"/>
  <c r="J23" i="33"/>
  <c r="H23" i="33"/>
  <c r="D23" i="33"/>
  <c r="C23" i="33"/>
  <c r="I23" i="33"/>
  <c r="E23" i="33"/>
  <c r="F23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2" i="33"/>
  <c r="H22" i="33"/>
  <c r="D22" i="33"/>
  <c r="C22" i="33"/>
  <c r="K22" i="33"/>
  <c r="I22" i="33"/>
  <c r="E22" i="33"/>
  <c r="J22" i="33"/>
  <c r="F22" i="33"/>
  <c r="G22" i="33"/>
  <c r="L21" i="33"/>
  <c r="B20" i="33"/>
  <c r="L22" i="33"/>
  <c r="R21" i="33"/>
  <c r="R17" i="33"/>
  <c r="B23" i="33"/>
  <c r="R9" i="33"/>
  <c r="B18" i="33"/>
  <c r="L20" i="33"/>
  <c r="B22" i="33"/>
  <c r="R23" i="33"/>
  <c r="R19" i="33"/>
  <c r="B3" i="33"/>
  <c r="L9" i="33"/>
  <c r="B19" i="33"/>
  <c r="R20" i="33"/>
  <c r="L3" i="33"/>
  <c r="L19" i="33"/>
  <c r="L23" i="33"/>
  <c r="B9" i="33"/>
  <c r="AH80" i="18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3" i="18" l="1"/>
  <c r="AK77" i="18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P42" i="18" l="1"/>
  <c r="P43" i="18" s="1"/>
  <c r="N43" i="18" s="1"/>
  <c r="N42" i="18" l="1"/>
  <c r="N33" i="18" l="1"/>
  <c r="AH86" i="18" l="1"/>
  <c r="AH87" i="18" s="1"/>
  <c r="AK70" i="18"/>
  <c r="AK71" i="18"/>
  <c r="AJ68" i="18" l="1"/>
  <c r="AJ67" i="18" s="1"/>
  <c r="U44" i="18"/>
  <c r="AK68" i="18" l="1"/>
  <c r="AK69" i="18"/>
  <c r="AJ66" i="18"/>
  <c r="AK67" i="18"/>
  <c r="AJ65" i="18" l="1"/>
  <c r="AK66" i="18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I2" i="33" l="1"/>
  <c r="E2" i="33"/>
  <c r="J2" i="33"/>
  <c r="F2" i="33"/>
  <c r="K2" i="33"/>
  <c r="G2" i="33"/>
  <c r="D2" i="33"/>
  <c r="C2" i="33"/>
  <c r="H2" i="33"/>
  <c r="AK62" i="18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AJ56" i="18" l="1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D64" i="43"/>
  <c r="I33" i="48" l="1"/>
  <c r="D27" i="48"/>
  <c r="AJ45" i="18"/>
  <c r="AK46" i="18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5" i="33"/>
  <c r="E244" i="15"/>
  <c r="R15" i="33" l="1"/>
  <c r="K15" i="33"/>
  <c r="G15" i="33"/>
  <c r="C15" i="33"/>
  <c r="H15" i="33"/>
  <c r="D15" i="33"/>
  <c r="J15" i="33"/>
  <c r="I15" i="33"/>
  <c r="E15" i="33"/>
  <c r="F15" i="33"/>
  <c r="AK39" i="18"/>
  <c r="AJ38" i="18"/>
  <c r="B15" i="33"/>
  <c r="L15" i="33"/>
  <c r="E26" i="14"/>
  <c r="G27" i="14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B14" i="33" l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AJ36" i="18"/>
  <c r="AK37" i="18"/>
  <c r="E24" i="14"/>
  <c r="G25" i="14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55" i="33"/>
  <c r="J53" i="33"/>
  <c r="J52" i="33"/>
  <c r="L55" i="33" l="1"/>
  <c r="AK31" i="18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80" i="18" l="1"/>
  <c r="AL80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2" i="33"/>
  <c r="B32" i="33" l="1"/>
  <c r="J32" i="33"/>
  <c r="F32" i="33"/>
  <c r="K32" i="33"/>
  <c r="G32" i="33"/>
  <c r="H32" i="33"/>
  <c r="D32" i="33"/>
  <c r="C32" i="33"/>
  <c r="I32" i="33"/>
  <c r="E32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2" i="33"/>
  <c r="U32" i="33"/>
  <c r="I40" i="32"/>
  <c r="P36" i="33"/>
  <c r="P33" i="33"/>
  <c r="P31" i="33"/>
  <c r="P24" i="33"/>
  <c r="P34" i="33"/>
  <c r="P26" i="33"/>
  <c r="P27" i="33"/>
  <c r="P28" i="33"/>
  <c r="P29" i="33"/>
  <c r="P30" i="33"/>
  <c r="P25" i="33"/>
  <c r="E131" i="13" l="1"/>
  <c r="G132" i="13"/>
  <c r="AF2" i="33"/>
  <c r="Y2" i="33" s="1"/>
  <c r="N36" i="33"/>
  <c r="N35" i="33"/>
  <c r="N33" i="33"/>
  <c r="N13" i="33"/>
  <c r="N12" i="33"/>
  <c r="N11" i="33"/>
  <c r="N10" i="33"/>
  <c r="N8" i="33"/>
  <c r="N7" i="33"/>
  <c r="B4" i="33"/>
  <c r="B2" i="33"/>
  <c r="N31" i="33"/>
  <c r="N34" i="33"/>
  <c r="N5" i="33"/>
  <c r="N30" i="33"/>
  <c r="N29" i="33"/>
  <c r="N28" i="33"/>
  <c r="N27" i="33"/>
  <c r="N26" i="33"/>
  <c r="N25" i="33"/>
  <c r="N24" i="33"/>
  <c r="B28" i="33" l="1"/>
  <c r="J28" i="33"/>
  <c r="F28" i="33"/>
  <c r="K28" i="33"/>
  <c r="G28" i="33"/>
  <c r="H28" i="33"/>
  <c r="D28" i="33"/>
  <c r="C28" i="33"/>
  <c r="E28" i="33"/>
  <c r="I28" i="33"/>
  <c r="B34" i="33"/>
  <c r="H34" i="33"/>
  <c r="D34" i="33"/>
  <c r="C34" i="33"/>
  <c r="K34" i="33"/>
  <c r="I34" i="33"/>
  <c r="E34" i="33"/>
  <c r="J34" i="33"/>
  <c r="F34" i="33"/>
  <c r="G34" i="33"/>
  <c r="B7" i="33"/>
  <c r="K7" i="33"/>
  <c r="G7" i="33"/>
  <c r="C7" i="33"/>
  <c r="H7" i="33"/>
  <c r="D7" i="33"/>
  <c r="I7" i="33"/>
  <c r="E7" i="33"/>
  <c r="J7" i="33"/>
  <c r="F7" i="33"/>
  <c r="B12" i="33"/>
  <c r="J12" i="33"/>
  <c r="F12" i="33"/>
  <c r="K12" i="33"/>
  <c r="G12" i="33"/>
  <c r="C12" i="33"/>
  <c r="H12" i="33"/>
  <c r="D12" i="33"/>
  <c r="E12" i="33"/>
  <c r="I12" i="33"/>
  <c r="B36" i="33"/>
  <c r="J36" i="33"/>
  <c r="F36" i="33"/>
  <c r="K36" i="33"/>
  <c r="G36" i="33"/>
  <c r="H36" i="33"/>
  <c r="D36" i="33"/>
  <c r="C36" i="33"/>
  <c r="E36" i="33"/>
  <c r="I36" i="33"/>
  <c r="B29" i="33"/>
  <c r="I29" i="33"/>
  <c r="E29" i="33"/>
  <c r="J29" i="33"/>
  <c r="F29" i="33"/>
  <c r="K29" i="33"/>
  <c r="G29" i="33"/>
  <c r="H29" i="33"/>
  <c r="C29" i="33"/>
  <c r="D29" i="33"/>
  <c r="K31" i="33"/>
  <c r="G31" i="33"/>
  <c r="H31" i="33"/>
  <c r="D31" i="33"/>
  <c r="C31" i="33"/>
  <c r="I31" i="33"/>
  <c r="E31" i="33"/>
  <c r="J31" i="33"/>
  <c r="F31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H10" i="33"/>
  <c r="D10" i="33"/>
  <c r="K10" i="33"/>
  <c r="I10" i="33"/>
  <c r="E10" i="33"/>
  <c r="J10" i="33"/>
  <c r="F10" i="33"/>
  <c r="G10" i="33"/>
  <c r="C10" i="33"/>
  <c r="B33" i="33"/>
  <c r="I33" i="33"/>
  <c r="E33" i="33"/>
  <c r="J33" i="33"/>
  <c r="F33" i="33"/>
  <c r="K33" i="33"/>
  <c r="G33" i="33"/>
  <c r="D33" i="33"/>
  <c r="C33" i="33"/>
  <c r="H33" i="33"/>
  <c r="B24" i="33"/>
  <c r="J24" i="33"/>
  <c r="F24" i="33"/>
  <c r="K24" i="33"/>
  <c r="G24" i="33"/>
  <c r="H24" i="33"/>
  <c r="D24" i="33"/>
  <c r="C24" i="33"/>
  <c r="E24" i="33"/>
  <c r="I24" i="33"/>
  <c r="B25" i="33"/>
  <c r="I25" i="33"/>
  <c r="E25" i="33"/>
  <c r="J25" i="33"/>
  <c r="F25" i="33"/>
  <c r="K25" i="33"/>
  <c r="G25" i="33"/>
  <c r="D25" i="33"/>
  <c r="C25" i="33"/>
  <c r="H25" i="33"/>
  <c r="B26" i="33"/>
  <c r="H26" i="33"/>
  <c r="D26" i="33"/>
  <c r="C26" i="33"/>
  <c r="I26" i="33"/>
  <c r="E26" i="33"/>
  <c r="K26" i="33"/>
  <c r="J26" i="33"/>
  <c r="F26" i="33"/>
  <c r="G26" i="33"/>
  <c r="B30" i="33"/>
  <c r="H30" i="33"/>
  <c r="D30" i="33"/>
  <c r="C30" i="33"/>
  <c r="I30" i="33"/>
  <c r="E30" i="33"/>
  <c r="J30" i="33"/>
  <c r="F30" i="33"/>
  <c r="K30" i="33"/>
  <c r="G30" i="33"/>
  <c r="B27" i="33"/>
  <c r="K27" i="33"/>
  <c r="G27" i="33"/>
  <c r="H27" i="33"/>
  <c r="D27" i="33"/>
  <c r="C27" i="33"/>
  <c r="J27" i="33"/>
  <c r="I27" i="33"/>
  <c r="E27" i="33"/>
  <c r="F27" i="33"/>
  <c r="B5" i="33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5" i="33"/>
  <c r="K35" i="33"/>
  <c r="G35" i="33"/>
  <c r="H35" i="33"/>
  <c r="D35" i="33"/>
  <c r="C35" i="33"/>
  <c r="I35" i="33"/>
  <c r="E35" i="33"/>
  <c r="J35" i="33"/>
  <c r="F35" i="33"/>
  <c r="B31" i="33"/>
  <c r="U31" i="33" s="1"/>
  <c r="B13" i="33"/>
  <c r="U13" i="33" s="1"/>
  <c r="E130" i="13"/>
  <c r="G131" i="13"/>
  <c r="U25" i="33"/>
  <c r="L27" i="33"/>
  <c r="L10" i="33"/>
  <c r="U10" i="33"/>
  <c r="L28" i="33"/>
  <c r="U28" i="33"/>
  <c r="R34" i="33"/>
  <c r="L34" i="33"/>
  <c r="U34" i="33"/>
  <c r="L11" i="33"/>
  <c r="U11" i="33"/>
  <c r="L29" i="33"/>
  <c r="U29" i="33"/>
  <c r="L31" i="33"/>
  <c r="L12" i="33"/>
  <c r="U12" i="33"/>
  <c r="L30" i="33"/>
  <c r="U30" i="33"/>
  <c r="L2" i="33"/>
  <c r="U2" i="33"/>
  <c r="L13" i="33"/>
  <c r="L4" i="33"/>
  <c r="U4" i="33"/>
  <c r="L33" i="33"/>
  <c r="U33" i="33"/>
  <c r="L24" i="33"/>
  <c r="U24" i="33"/>
  <c r="L6" i="33"/>
  <c r="U6" i="33"/>
  <c r="L35" i="33"/>
  <c r="U35" i="33"/>
  <c r="L25" i="33"/>
  <c r="L7" i="33"/>
  <c r="U7" i="33"/>
  <c r="L36" i="33"/>
  <c r="U36" i="33"/>
  <c r="L26" i="33"/>
  <c r="U26" i="33"/>
  <c r="L5" i="33"/>
  <c r="U5" i="33"/>
  <c r="L8" i="33"/>
  <c r="U8" i="33"/>
  <c r="R31" i="33"/>
  <c r="R12" i="33"/>
  <c r="R24" i="33"/>
  <c r="R2" i="33"/>
  <c r="R13" i="33"/>
  <c r="R32" i="33"/>
  <c r="R33" i="33"/>
  <c r="R6" i="33"/>
  <c r="R36" i="33"/>
  <c r="R29" i="33"/>
  <c r="R10" i="33"/>
  <c r="R25" i="33"/>
  <c r="R4" i="33"/>
  <c r="R26" i="33"/>
  <c r="R35" i="33"/>
  <c r="U27" i="33"/>
  <c r="R27" i="33"/>
  <c r="R7" i="33"/>
  <c r="R28" i="33"/>
  <c r="R5" i="33"/>
  <c r="R8" i="33"/>
  <c r="R30" i="33"/>
  <c r="R11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l="1"/>
  <c r="L45" i="18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<sst xmlns="http://schemas.openxmlformats.org/spreadsheetml/2006/main" count="9068" uniqueCount="4320">
  <si>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</si>
  <si>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</si>
  <si>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</si>
  <si>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</si>
  <si>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</si>
  <si>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</si>
  <si>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</si>
  <si>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</si>
  <si>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</si>
  <si>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</si>
  <si>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</si>
  <si>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</si>
  <si>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</si>
  <si>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</si>
  <si>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</si>
  <si>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</si>
  <si>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</si>
  <si>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</si>
  <si>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</si>
  <si>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</si>
  <si>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</si>
  <si>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</si>
  <si>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</si>
  <si>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</si>
  <si>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</si>
  <si>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</si>
  <si>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</si>
  <si>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</si>
  <si>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</si>
  <si>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</si>
  <si>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</si>
  <si>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</si>
  <si>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</si>
  <si>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</si>
  <si>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</si>
  <si>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</si>
  <si>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</si>
  <si>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</si>
  <si>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</si>
  <si>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</si>
  <si>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</si>
  <si>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</si>
  <si>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</si>
  <si>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</si>
  <si>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</si>
  <si>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</si>
  <si>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</si>
  <si>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</si>
  <si>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</si>
  <si>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</si>
  <si>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</si>
  <si>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</si>
  <si>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</si>
  <si>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</si>
  <si>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</si>
  <si>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</si>
  <si>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</si>
  <si>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</si>
  <si>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</si>
  <si>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</si>
  <si>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</si>
  <si>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</si>
  <si>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</si>
  <si>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</si>
  <si>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</si>
  <si>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</si>
  <si>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</si>
  <si>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</si>
  <si>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</si>
  <si>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</si>
  <si>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</si>
  <si>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</si>
  <si>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</si>
  <si>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</si>
  <si>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</si>
  <si>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</si>
  <si>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</si>
  <si>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</si>
  <si>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</si>
  <si>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</si>
  <si>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</si>
  <si>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</si>
  <si>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</si>
  <si>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</si>
  <si>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</si>
  <si>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</si>
  <si>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</si>
  <si>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</si>
  <si>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</si>
  <si>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</si>
  <si>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</si>
  <si>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</si>
  <si>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</si>
  <si>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</si>
  <si>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</si>
  <si>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</si>
  <si>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</si>
  <si>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</si>
  <si>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</si>
  <si>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</si>
  <si>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</si>
  <si>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</si>
  <si>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</si>
  <si>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</si>
  <si>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</si>
  <si>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</si>
  <si>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</si>
  <si>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</si>
  <si>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</si>
  <si>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</si>
  <si>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</si>
  <si>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</si>
  <si>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</si>
  <si>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</si>
  <si>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</si>
  <si>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</si>
  <si>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</si>
  <si>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</si>
  <si>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</si>
  <si>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</si>
  <si>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</si>
  <si>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</si>
  <si>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</si>
  <si>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</si>
  <si>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</si>
  <si>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</si>
  <si>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</si>
  <si>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</si>
  <si>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</si>
  <si>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</si>
  <si>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</si>
  <si>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</si>
  <si>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</si>
  <si>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</si>
  <si>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</si>
  <si>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</si>
  <si>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</si>
  <si>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</si>
  <si>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</si>
  <si>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</si>
  <si>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</si>
  <si>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</si>
  <si>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</si>
  <si>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</si>
  <si>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</si>
  <si>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</si>
  <si>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</si>
  <si>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</si>
  <si>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</si>
  <si>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</si>
  <si>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</si>
  <si>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</si>
  <si>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</si>
  <si>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</si>
  <si>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</si>
  <si>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</si>
  <si>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</si>
  <si>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</si>
  <si>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</si>
  <si>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</si>
  <si>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</si>
  <si>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</si>
  <si>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</si>
  <si>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</si>
  <si>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</si>
  <si>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</si>
  <si>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</si>
  <si>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</si>
  <si>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</si>
  <si>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</si>
  <si>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</si>
  <si>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</si>
  <si>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</si>
  <si>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</si>
  <si>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</si>
  <si>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</si>
  <si>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</si>
  <si>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</si>
  <si>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</si>
  <si>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</si>
  <si>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</si>
  <si>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</si>
  <si>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</si>
  <si>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</si>
  <si>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</si>
  <si>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</si>
  <si>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</si>
  <si>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</si>
  <si>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</si>
  <si>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</si>
  <si>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</si>
  <si>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</si>
  <si>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</si>
  <si>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</si>
  <si>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</si>
  <si>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</si>
  <si>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</si>
  <si>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</si>
  <si>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</si>
  <si>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</si>
  <si>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</si>
  <si>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</si>
  <si>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</si>
  <si>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</si>
  <si>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</si>
  <si>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</si>
  <si>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</si>
  <si>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</si>
  <si>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</si>
  <si>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</si>
  <si>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</si>
  <si>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</si>
  <si>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</si>
  <si>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</si>
  <si>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</si>
  <si>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</si>
  <si>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</si>
  <si>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</si>
  <si>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</si>
  <si>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</si>
  <si>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</si>
  <si>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</si>
  <si>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</si>
  <si>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</si>
  <si>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</si>
  <si>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</si>
  <si>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</si>
  <si>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</si>
  <si>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</si>
  <si>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</si>
  <si>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</si>
  <si>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</si>
  <si>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</si>
  <si>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</si>
  <si>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</si>
  <si>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</si>
  <si>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</si>
  <si>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</si>
  <si>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</si>
  <si>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</si>
  <si>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</si>
  <si>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</si>
  <si>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</si>
  <si>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</si>
  <si>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</si>
  <si>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</si>
  <si>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</si>
  <si>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</si>
  <si>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</si>
  <si>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</si>
  <si>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</si>
  <si>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</si>
  <si>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</si>
  <si>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</si>
  <si>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</si>
  <si>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</si>
  <si>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</si>
  <si>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</si>
  <si>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</si>
  <si>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</si>
  <si>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</si>
  <si>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</si>
  <si>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</si>
  <si>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</si>
  <si>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</si>
  <si>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</si>
  <si>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</si>
  <si>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</si>
  <si>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</si>
  <si>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</si>
  <si>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</si>
  <si>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</si>
  <si>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</si>
  <si>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</si>
  <si>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</si>
  <si>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</si>
  <si>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</si>
  <si>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</si>
  <si>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</si>
  <si>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</si>
  <si>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</si>
  <si>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</si>
  <si>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</si>
  <si>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</si>
  <si>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</si>
  <si>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</si>
  <si>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</si>
  <si>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</si>
  <si>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</si>
  <si>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</si>
  <si>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</si>
  <si>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</si>
  <si>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</si>
  <si>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</si>
  <si>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</si>
  <si>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</si>
  <si>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</si>
  <si>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</si>
  <si>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</si>
  <si>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</si>
  <si>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</si>
  <si>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</si>
  <si>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</si>
  <si>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</si>
  <si>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</si>
  <si>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</si>
  <si>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</si>
  <si>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</si>
  <si>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</si>
  <si>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</si>
  <si>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</si>
  <si>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</si>
  <si>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</si>
  <si>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</si>
  <si>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</si>
  <si>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</si>
  <si>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</si>
  <si>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</si>
  <si>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</si>
  <si>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</si>
  <si>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</si>
  <si>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</si>
  <si>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</si>
  <si>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</si>
  <si>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</si>
  <si>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</si>
  <si>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</si>
  <si>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</si>
  <si>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</si>
  <si>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</si>
  <si>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</si>
  <si>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</si>
  <si>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</si>
  <si>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</si>
  <si>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</si>
  <si>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</si>
  <si>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</si>
  <si>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</si>
  <si>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</si>
  <si>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</si>
  <si>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</si>
  <si>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</si>
  <si>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</si>
  <si>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</si>
  <si>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</si>
  <si>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</si>
  <si>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</si>
  <si>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</si>
  <si>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</si>
  <si>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</si>
  <si>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</si>
  <si>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</si>
  <si>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</si>
  <si>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</si>
  <si>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</si>
  <si>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</si>
  <si>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</si>
  <si>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</si>
  <si>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</si>
  <si>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</si>
  <si>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</si>
  <si>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</si>
  <si>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</si>
  <si>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</si>
  <si>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</si>
  <si>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</si>
  <si>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</si>
  <si>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</si>
  <si>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</si>
  <si>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</si>
  <si>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</si>
  <si>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</si>
  <si>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</si>
  <si>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</si>
  <si>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</si>
  <si>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</si>
  <si>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</si>
  <si>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</si>
  <si>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</si>
  <si>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</si>
  <si>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</si>
  <si>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</si>
  <si>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</si>
  <si>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</si>
  <si>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</si>
  <si>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</si>
  <si>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</si>
  <si>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</si>
  <si>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</si>
  <si>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</si>
  <si>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</si>
  <si>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</si>
  <si>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</si>
  <si>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</si>
  <si>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</si>
  <si>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</si>
  <si>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</si>
  <si>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</si>
  <si>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</si>
  <si>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</si>
  <si>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</si>
  <si>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</si>
  <si>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</si>
  <si>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</si>
  <si>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</si>
  <si>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</si>
  <si>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</si>
  <si>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</si>
  <si>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</si>
  <si>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</si>
  <si>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</si>
  <si>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</si>
  <si>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</si>
  <si>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</si>
  <si>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</si>
  <si>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</si>
  <si>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</si>
  <si>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</si>
  <si>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</si>
  <si>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</si>
  <si>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</si>
  <si>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</si>
  <si>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</si>
  <si>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</si>
  <si>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</si>
  <si>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</si>
  <si>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</si>
  <si>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</si>
  <si>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</si>
  <si>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</si>
  <si>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</si>
  <si>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</si>
  <si>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</si>
  <si>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</si>
  <si>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</si>
  <si>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</si>
  <si>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</si>
  <si>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</si>
  <si>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</si>
  <si>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</si>
  <si>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</si>
  <si>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</si>
  <si>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</si>
  <si>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</si>
  <si>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</si>
  <si>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</si>
  <si>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</si>
  <si>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</si>
  <si>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</si>
  <si>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</si>
  <si>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</si>
  <si>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</si>
  <si>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</si>
  <si>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</si>
  <si>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</si>
  <si>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</si>
  <si>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</si>
  <si>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</si>
  <si>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</si>
  <si>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</si>
  <si>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</si>
  <si>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</si>
  <si>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</si>
  <si>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</si>
  <si>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</si>
  <si>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</si>
  <si>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</si>
  <si>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</si>
  <si>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</si>
  <si>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</si>
  <si>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</si>
  <si>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</si>
  <si>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</si>
  <si>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</si>
  <si>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</si>
  <si>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</si>
  <si>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</si>
  <si>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</si>
  <si>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</si>
  <si>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</si>
  <si>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</si>
  <si>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</si>
  <si>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</si>
  <si>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</si>
  <si>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</si>
  <si>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</si>
  <si>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</si>
  <si>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</si>
  <si>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</si>
  <si>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</si>
  <si>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</si>
  <si>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</si>
  <si>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</si>
  <si>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</si>
  <si>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</si>
  <si>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</si>
  <si>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</si>
  <si>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</si>
  <si>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</si>
  <si>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</si>
  <si>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</si>
  <si>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</si>
  <si>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</si>
  <si>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</si>
  <si>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</si>
  <si>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</si>
  <si>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</si>
  <si>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</si>
  <si>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</si>
  <si>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</si>
  <si>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</si>
  <si>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</si>
  <si>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</si>
  <si>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</si>
  <si>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</si>
  <si>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</si>
  <si>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</si>
  <si>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</si>
  <si>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</si>
  <si>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</si>
  <si>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</si>
  <si>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</si>
  <si>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</si>
  <si>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</si>
  <si>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</si>
  <si>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</si>
  <si>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</si>
  <si>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</si>
  <si>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</si>
  <si>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</si>
  <si>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</si>
  <si>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</si>
  <si>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</si>
  <si>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</si>
  <si>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</si>
  <si>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</si>
  <si>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</si>
  <si>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</si>
  <si>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</si>
  <si>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</si>
  <si>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</si>
  <si>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</si>
  <si>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</si>
  <si>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</si>
  <si>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</si>
  <si>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</si>
  <si>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</si>
  <si>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</si>
  <si>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</si>
  <si>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</si>
  <si>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</si>
  <si>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</si>
  <si>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</si>
  <si>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</si>
  <si>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</si>
  <si>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</si>
  <si>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</si>
  <si>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</si>
  <si>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</si>
  <si>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</si>
  <si>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</si>
  <si>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</si>
  <si>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</si>
  <si>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</si>
  <si>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</si>
  <si>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</si>
  <si>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</si>
  <si>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</si>
  <si>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</si>
  <si>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</si>
  <si>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</si>
  <si>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</si>
  <si>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</si>
  <si>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</si>
  <si>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</si>
  <si>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</si>
  <si>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</si>
  <si>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</si>
  <si>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</si>
  <si>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</si>
  <si>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</si>
  <si>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</si>
  <si>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</si>
  <si>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</si>
  <si>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</si>
  <si>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</si>
  <si>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</si>
  <si>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</si>
  <si>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</si>
  <si>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</si>
  <si>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</si>
  <si>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</si>
  <si>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</si>
  <si>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</si>
  <si>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</si>
  <si>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</si>
  <si>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</si>
  <si>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</si>
  <si>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</si>
  <si>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</si>
  <si>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</si>
  <si>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</si>
  <si>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</si>
  <si>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</si>
  <si>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</si>
  <si>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</si>
  <si>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</si>
  <si>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</si>
  <si>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</si>
  <si>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</si>
  <si>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</si>
  <si>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</si>
  <si>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</si>
  <si>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</si>
  <si>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</si>
  <si>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</si>
  <si>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</si>
  <si>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</si>
  <si>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</si>
  <si>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</si>
  <si>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</si>
  <si>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</si>
  <si>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</si>
  <si>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</si>
  <si>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</si>
  <si>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</si>
  <si>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</si>
  <si>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</si>
  <si>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</si>
  <si>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</si>
  <si>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</si>
  <si>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</si>
  <si>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</si>
  <si>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</si>
  <si>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</si>
  <si>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</si>
  <si>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</si>
  <si>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</si>
  <si>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</si>
  <si>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</si>
  <si>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</si>
  <si>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</si>
  <si>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</si>
  <si>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</si>
  <si>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</si>
  <si>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</si>
  <si>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</si>
  <si>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</si>
  <si>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</si>
  <si>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</si>
  <si>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</si>
  <si>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</si>
  <si>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</si>
  <si>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</si>
  <si>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</si>
  <si>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</si>
  <si>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</si>
  <si>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</si>
  <si>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</si>
  <si>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</si>
  <si>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</si>
  <si>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</si>
  <si>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</si>
  <si>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</si>
  <si>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</si>
  <si>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</si>
  <si>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</si>
  <si>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</si>
  <si>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</si>
  <si>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</si>
  <si>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</si>
  <si>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</si>
  <si>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</si>
  <si>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</si>
  <si>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</si>
  <si>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</si>
  <si>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</si>
  <si>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</si>
  <si>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</si>
  <si>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</si>
  <si>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</si>
  <si>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</si>
  <si>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</si>
  <si>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</si>
  <si>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</si>
  <si>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</si>
  <si>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</si>
  <si>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</si>
  <si>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</si>
  <si>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</si>
  <si>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</si>
  <si>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</si>
  <si>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</si>
  <si>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</si>
  <si>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</si>
  <si>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</si>
  <si>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</si>
  <si>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</si>
  <si>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</si>
  <si>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</si>
  <si>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</si>
  <si>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</si>
  <si>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</si>
  <si>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</si>
  <si>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</si>
  <si>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</si>
  <si>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</si>
  <si>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</si>
  <si>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</si>
  <si>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</si>
  <si>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</si>
  <si>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</si>
  <si>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</si>
  <si>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</si>
  <si>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</si>
  <si>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</si>
  <si>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</si>
  <si>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</si>
  <si>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</si>
  <si>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</si>
  <si>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</si>
  <si>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</si>
  <si>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</si>
  <si>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</si>
  <si>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</si>
  <si>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</si>
  <si>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</si>
  <si>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</si>
  <si>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</si>
  <si>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</si>
  <si>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</si>
  <si>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</si>
  <si>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</si>
  <si>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</si>
  <si>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</si>
  <si>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</si>
  <si>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</si>
  <si>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</si>
  <si>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</si>
  <si>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</si>
  <si>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</si>
  <si>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</si>
  <si>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</si>
  <si>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</si>
  <si>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</si>
  <si>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</si>
  <si>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</si>
  <si>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</si>
  <si>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</si>
  <si>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</si>
  <si>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</si>
  <si>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</si>
  <si>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</si>
  <si>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</si>
  <si>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</si>
  <si>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</si>
  <si>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</si>
  <si>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</si>
  <si>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</si>
  <si>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</si>
  <si>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</si>
  <si>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</si>
  <si>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</si>
  <si>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</si>
  <si>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</si>
  <si>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</si>
  <si>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</si>
  <si>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</si>
  <si>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</si>
  <si>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</si>
  <si>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</si>
  <si>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</si>
  <si>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</si>
  <si>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</si>
  <si>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</si>
  <si>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</si>
  <si>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</si>
  <si>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</si>
  <si>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</si>
  <si>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</si>
  <si>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</si>
  <si>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</si>
  <si>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</si>
  <si>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</si>
  <si>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</si>
  <si>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</si>
  <si>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</si>
  <si>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</si>
  <si>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</si>
  <si>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</si>
  <si>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</si>
  <si>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</si>
  <si>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</si>
  <si>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</si>
  <si>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</si>
  <si>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</si>
  <si>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</si>
  <si>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</si>
  <si>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</si>
  <si>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</si>
  <si>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</si>
  <si>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</si>
  <si>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</si>
  <si>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</si>
  <si>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</si>
  <si>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</si>
  <si>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</si>
  <si>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</si>
  <si>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</si>
  <si>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</si>
  <si>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</si>
  <si>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</si>
  <si>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</si>
  <si>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</si>
  <si>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</si>
  <si>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</si>
  <si>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</si>
  <si>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</si>
  <si>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</si>
  <si>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</si>
  <si>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</si>
  <si>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</si>
  <si>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</si>
  <si>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</si>
  <si>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</si>
  <si>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</si>
  <si>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</si>
  <si>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</si>
  <si>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</si>
  <si>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</si>
  <si>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</si>
  <si>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</si>
  <si>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</si>
  <si>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</si>
  <si>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</si>
  <si>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</si>
  <si>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</si>
  <si>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</si>
  <si>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</si>
  <si>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</si>
  <si>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</si>
  <si>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</si>
  <si>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</si>
  <si>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</si>
  <si>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</si>
  <si>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</si>
  <si>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</si>
  <si>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</si>
  <si>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</si>
  <si>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</si>
  <si>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</si>
  <si>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</si>
  <si>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</si>
  <si>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</si>
  <si>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</si>
  <si>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</si>
  <si>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</si>
  <si>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</si>
  <si>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</si>
  <si>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</si>
  <si>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</si>
  <si>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</si>
  <si>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</si>
  <si>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</si>
  <si>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</si>
  <si>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</si>
  <si>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</si>
  <si>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</si>
  <si>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</si>
  <si>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</si>
  <si>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</si>
  <si>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</si>
  <si>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</si>
  <si>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</si>
  <si>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</si>
  <si>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</si>
  <si>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</si>
  <si>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</si>
  <si>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</si>
  <si>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</si>
  <si>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</si>
  <si>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</si>
  <si>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</si>
  <si>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</si>
  <si>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</si>
  <si>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</si>
  <si>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</si>
  <si>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</si>
  <si>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</si>
  <si>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</si>
  <si>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</si>
  <si>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</si>
  <si>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</si>
  <si>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</si>
  <si>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</si>
  <si>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</si>
  <si>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</si>
  <si>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</si>
  <si>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</si>
  <si>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</si>
  <si>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</si>
  <si>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</si>
  <si>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</si>
  <si>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</si>
  <si>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</si>
  <si>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</si>
  <si>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</si>
  <si>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</si>
  <si>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</si>
  <si>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</si>
  <si>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</si>
  <si>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</si>
  <si>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</si>
  <si>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</si>
  <si>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</si>
  <si>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</si>
  <si>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</si>
  <si>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</si>
  <si>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</si>
  <si>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</si>
  <si>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</si>
  <si>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</si>
  <si>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</si>
  <si>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</si>
  <si>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</si>
  <si>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</si>
  <si>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</si>
  <si>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</si>
  <si>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</si>
  <si>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</si>
  <si>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</si>
  <si>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</si>
  <si>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</si>
  <si>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</si>
  <si>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</si>
  <si>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</si>
  <si>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</si>
  <si>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</si>
  <si>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</si>
  <si>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</si>
  <si>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</si>
  <si>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</si>
  <si>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</si>
  <si>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</si>
  <si>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</si>
  <si>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</si>
  <si>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</si>
  <si>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</si>
  <si>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</si>
  <si>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</si>
  <si>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</si>
  <si>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</si>
  <si>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</si>
  <si>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</si>
  <si>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</si>
  <si>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</si>
  <si>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</si>
  <si>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</si>
  <si>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</si>
  <si>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</si>
  <si>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</si>
  <si>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</si>
  <si>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</si>
  <si>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</si>
  <si>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</si>
  <si>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</si>
  <si>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</si>
  <si>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</si>
  <si>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</si>
  <si>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</si>
  <si>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</si>
  <si>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</si>
  <si>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</si>
  <si>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</si>
  <si>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</si>
  <si>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</si>
  <si>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</si>
  <si>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</si>
  <si>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</si>
  <si>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</si>
  <si>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</si>
  <si>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</si>
  <si>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</si>
  <si>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</si>
  <si>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</si>
  <si>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</si>
  <si>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</si>
  <si>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</si>
  <si>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</si>
  <si>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</si>
  <si>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</si>
  <si>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</si>
  <si>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</si>
  <si>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</si>
  <si>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</si>
  <si>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</si>
  <si>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</si>
  <si>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</si>
  <si>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</si>
  <si>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</si>
  <si>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</si>
  <si>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</si>
  <si>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</si>
  <si>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</si>
  <si>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</si>
  <si>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</si>
  <si>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</si>
  <si>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</si>
  <si>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</si>
  <si>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</si>
  <si>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</si>
  <si>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</si>
  <si>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</si>
  <si>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</si>
  <si>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</si>
  <si>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</si>
  <si>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</si>
  <si>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</si>
  <si>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</si>
  <si>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</si>
  <si>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</si>
  <si>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</si>
  <si>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</si>
  <si>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</si>
  <si>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</si>
  <si>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</si>
  <si>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</si>
  <si>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</si>
  <si>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</si>
  <si>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</si>
  <si>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</si>
  <si>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</si>
  <si>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</si>
  <si>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</si>
  <si>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</si>
  <si>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</si>
  <si>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</si>
  <si>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</si>
  <si>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</si>
  <si>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</si>
  <si>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</si>
  <si>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</si>
  <si>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</si>
  <si>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</si>
  <si>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</si>
  <si>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</si>
  <si>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</si>
  <si>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</si>
  <si>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</si>
  <si>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</si>
  <si>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</si>
  <si>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</si>
  <si>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</si>
  <si>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</si>
  <si>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</si>
  <si>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</si>
  <si>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</si>
  <si>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</si>
  <si>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</si>
  <si>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</si>
  <si>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</si>
  <si>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</si>
  <si>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</si>
  <si>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</si>
  <si>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</si>
  <si>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</si>
  <si>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</si>
  <si>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</si>
  <si>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</si>
  <si>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</si>
  <si>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</si>
  <si>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</si>
  <si>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</si>
  <si>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</si>
  <si>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</si>
  <si>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</si>
  <si>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</si>
  <si>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</si>
  <si>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</si>
  <si>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</si>
  <si>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</si>
  <si>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</si>
  <si>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</si>
  <si>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</si>
  <si>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</si>
  <si>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</si>
  <si>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</si>
  <si>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</si>
  <si>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</si>
  <si>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</si>
  <si>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</si>
  <si>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</si>
  <si>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</si>
  <si>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</si>
  <si>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</si>
  <si>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</si>
  <si>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</si>
  <si>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</si>
  <si>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</si>
  <si>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</si>
  <si>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</si>
  <si>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</si>
  <si>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</si>
  <si>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</si>
  <si>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</si>
  <si>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</si>
  <si>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</si>
  <si>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</si>
  <si>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</si>
  <si>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</si>
  <si>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</si>
  <si>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</si>
  <si>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</si>
  <si>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</si>
  <si>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</si>
  <si>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</si>
  <si>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</si>
  <si>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</si>
  <si>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</si>
  <si>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</si>
  <si>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</si>
  <si>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</si>
  <si>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</si>
  <si>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</si>
  <si>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</si>
  <si>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</si>
  <si>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</si>
  <si>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</si>
  <si>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</si>
  <si>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</si>
  <si>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</si>
  <si>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</si>
  <si>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</si>
  <si>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</si>
  <si>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</si>
  <si>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</si>
  <si>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</si>
  <si>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</si>
  <si>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</si>
  <si>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</si>
  <si>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</si>
  <si>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</si>
  <si>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</si>
  <si>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</si>
  <si>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</si>
  <si>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</si>
  <si>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</si>
  <si>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</si>
  <si>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</si>
  <si>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</si>
  <si>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</si>
  <si>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</si>
  <si>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</si>
  <si>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</si>
  <si>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</si>
  <si>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</si>
  <si>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</si>
  <si>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</si>
  <si>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</si>
  <si>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</si>
  <si>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</si>
  <si>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</si>
  <si>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</si>
  <si>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</si>
  <si>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</si>
  <si>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</si>
  <si>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</si>
  <si>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</si>
  <si>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</si>
  <si>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</si>
  <si>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</si>
  <si>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</si>
  <si>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</si>
  <si>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</si>
  <si>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</si>
  <si>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</si>
  <si>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</si>
  <si>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</si>
  <si>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</si>
  <si>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</si>
  <si>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</si>
  <si>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</si>
  <si>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</si>
  <si>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</si>
  <si>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</si>
  <si>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</si>
  <si>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</si>
  <si>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</si>
  <si>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</si>
  <si>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</si>
  <si>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</si>
  <si>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</si>
  <si>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</si>
  <si>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</si>
  <si>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</si>
  <si>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</si>
  <si>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</si>
  <si>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</si>
  <si>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</si>
  <si>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</si>
  <si>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</si>
  <si>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</si>
  <si>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</si>
  <si>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</si>
  <si>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</si>
  <si>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</si>
  <si>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</si>
  <si>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</si>
  <si>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</si>
  <si>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</si>
  <si>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</si>
  <si>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</si>
  <si>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</si>
  <si>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</si>
  <si>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</si>
  <si>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</si>
  <si>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</si>
  <si>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</si>
  <si>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</si>
  <si>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</si>
  <si>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</si>
  <si>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</si>
  <si>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</si>
  <si>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</si>
  <si>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</si>
  <si>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</si>
  <si>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</si>
  <si>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</si>
  <si>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</si>
  <si>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</si>
  <si>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</si>
  <si>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</si>
  <si>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</si>
  <si>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</si>
  <si>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</si>
  <si>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</si>
  <si>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</si>
  <si>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</si>
  <si>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</si>
  <si>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</si>
  <si>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</si>
  <si>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</si>
  <si>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</si>
  <si>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</si>
  <si>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</si>
  <si>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</si>
  <si>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</si>
  <si>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</si>
  <si>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</si>
  <si>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</si>
  <si>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</si>
  <si>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</si>
  <si>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</si>
  <si>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</si>
  <si>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</si>
  <si>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</si>
  <si>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</si>
  <si>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</si>
  <si>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</si>
  <si>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</si>
  <si>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</si>
  <si>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</si>
  <si>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</si>
  <si>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</si>
  <si>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</si>
  <si>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</si>
  <si>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</si>
  <si>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</si>
  <si>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</si>
  <si>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</si>
  <si>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</si>
  <si>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</si>
  <si>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</si>
  <si>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</si>
  <si>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</si>
  <si>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</si>
  <si>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</si>
  <si>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</si>
  <si>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</si>
  <si>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</si>
  <si>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</si>
  <si>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</si>
  <si>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</si>
  <si>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</si>
  <si>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</si>
  <si>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</si>
  <si>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</si>
  <si>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</si>
  <si>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</si>
  <si>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</si>
  <si>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</si>
  <si>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</si>
  <si>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</si>
  <si>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</si>
  <si>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</si>
  <si>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</si>
  <si>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</si>
  <si>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</si>
  <si>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</si>
  <si>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</si>
  <si>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</si>
  <si>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</si>
  <si>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</si>
  <si>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</si>
  <si>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</si>
  <si>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</si>
  <si>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</si>
  <si>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</si>
  <si>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</si>
  <si>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</si>
  <si>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</si>
  <si>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</si>
  <si>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</si>
  <si>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</si>
  <si>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</si>
  <si>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</si>
  <si>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</si>
  <si>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</si>
  <si>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</si>
  <si>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</si>
  <si>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</si>
  <si>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</si>
  <si>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</si>
  <si>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</si>
  <si>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</si>
  <si>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</si>
  <si>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</si>
  <si>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</si>
  <si>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</si>
  <si>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</si>
  <si>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</si>
  <si>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</si>
  <si>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</si>
  <si>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</si>
  <si>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</si>
  <si>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</si>
  <si>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</si>
  <si>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</si>
  <si>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</si>
  <si>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</si>
  <si>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</si>
  <si>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</si>
  <si>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</si>
  <si>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</si>
  <si>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</si>
  <si>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</si>
  <si>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</si>
  <si>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</si>
  <si>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</si>
  <si>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</si>
  <si>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</si>
  <si>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</si>
  <si>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</si>
  <si>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</si>
  <si>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</si>
  <si>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</si>
  <si>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</si>
  <si>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</si>
  <si>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</si>
  <si>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</si>
  <si>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</si>
  <si>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</si>
  <si>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</si>
  <si>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</si>
  <si>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</si>
  <si>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</si>
  <si>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</si>
  <si>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</si>
  <si>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</si>
  <si>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</si>
  <si>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</si>
  <si>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</si>
  <si>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</si>
  <si>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</si>
  <si>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</si>
  <si>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</si>
  <si>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</si>
  <si>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</si>
  <si>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</si>
  <si>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</si>
  <si>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</si>
  <si>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</si>
  <si>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</si>
  <si>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</si>
  <si>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</si>
  <si>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</si>
  <si>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</si>
  <si>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</si>
  <si>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</si>
  <si>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</si>
  <si>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</si>
  <si>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</si>
  <si>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</si>
  <si>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</si>
  <si>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</si>
  <si>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</si>
  <si>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</si>
  <si>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</si>
  <si>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</si>
  <si>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</si>
  <si>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</si>
  <si>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</si>
  <si>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</si>
  <si>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</si>
  <si>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</si>
  <si>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</si>
  <si>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</si>
  <si>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</si>
  <si>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</si>
  <si>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</si>
  <si>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</si>
  <si>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</si>
  <si>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</si>
  <si>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</si>
  <si>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</si>
  <si>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</si>
  <si>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</si>
  <si>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</si>
  <si>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</si>
  <si>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</si>
  <si>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</si>
  <si>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</si>
  <si>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</si>
  <si>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</si>
  <si>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</si>
  <si>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</si>
  <si>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</si>
  <si>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</si>
  <si>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</si>
  <si>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</si>
  <si>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</si>
  <si>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</si>
  <si>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</si>
  <si>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</si>
  <si>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</si>
  <si>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</si>
  <si>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</si>
  <si>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</si>
  <si>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</si>
  <si>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</si>
  <si>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</si>
  <si>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</si>
  <si>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</si>
  <si>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</si>
  <si>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</si>
  <si>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</si>
  <si>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</si>
  <si>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</si>
  <si>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</si>
  <si>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</si>
  <si>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</si>
  <si>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</si>
  <si>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</si>
  <si>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</si>
  <si>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</si>
  <si>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</si>
  <si>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</si>
  <si>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</si>
  <si>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</si>
  <si>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</si>
  <si>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</si>
  <si>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</si>
  <si>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</si>
  <si>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</si>
  <si>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</si>
  <si>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</si>
  <si>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</si>
  <si>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</si>
  <si>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</si>
  <si>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</si>
  <si>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</si>
  <si>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</si>
  <si>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</si>
  <si>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</si>
  <si>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</si>
  <si>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</si>
  <si>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</si>
  <si>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</si>
  <si>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</si>
  <si>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</si>
  <si>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</si>
  <si>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</si>
  <si>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</si>
  <si>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</si>
  <si>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</si>
  <si>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</si>
  <si>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</si>
  <si>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</si>
  <si>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</si>
  <si>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</si>
  <si>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</si>
  <si>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</si>
  <si>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</si>
  <si>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</si>
  <si>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</si>
  <si>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</si>
  <si>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</si>
  <si>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</si>
  <si>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</si>
  <si>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</si>
  <si>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</si>
  <si>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</si>
  <si>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</si>
  <si>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</si>
  <si>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</si>
  <si>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</si>
  <si>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</si>
  <si>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</si>
  <si>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</si>
  <si>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</si>
  <si>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</si>
  <si>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</si>
  <si>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</si>
  <si>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</si>
  <si>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</si>
  <si>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</si>
  <si>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</si>
  <si>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</si>
  <si>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</si>
  <si>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</si>
  <si>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</si>
  <si>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</si>
  <si>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</si>
  <si>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</si>
  <si>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</si>
  <si>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</si>
  <si>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</si>
  <si>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</si>
  <si>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</si>
  <si>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</si>
  <si>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</si>
  <si>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</si>
  <si>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</si>
  <si>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</si>
  <si>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</si>
  <si>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</si>
  <si>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</si>
  <si>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</si>
  <si>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</si>
  <si>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</si>
  <si>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</si>
  <si>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</si>
  <si>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</si>
  <si>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</si>
  <si>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</si>
  <si>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</si>
  <si>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</si>
  <si>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</si>
  <si>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</si>
  <si>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</si>
  <si>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</si>
  <si>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</si>
  <si>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</si>
  <si>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</si>
  <si>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</si>
  <si>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</si>
  <si>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</si>
  <si>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</si>
  <si>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</si>
  <si>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</si>
  <si>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</si>
  <si>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</si>
  <si>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</si>
  <si>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</si>
  <si>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</si>
  <si>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</si>
  <si>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</si>
  <si>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</si>
  <si>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</si>
  <si>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</si>
  <si>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</si>
  <si>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</si>
  <si>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</si>
  <si>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</si>
  <si>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</si>
  <si>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</si>
  <si>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</si>
  <si>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</si>
  <si>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</si>
  <si>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</si>
  <si>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</si>
  <si>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</si>
  <si>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</si>
  <si>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</si>
  <si>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</si>
  <si>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</si>
  <si>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</si>
  <si>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</si>
  <si>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</si>
  <si>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</si>
  <si>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</si>
  <si>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</si>
  <si>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</si>
  <si>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</si>
  <si>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</si>
  <si>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</si>
  <si>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</si>
  <si>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</si>
  <si>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</si>
  <si>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</si>
  <si>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</si>
  <si>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</si>
  <si>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</si>
  <si>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</si>
  <si>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</si>
  <si>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</si>
  <si>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</si>
  <si>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</si>
  <si>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</si>
  <si>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</si>
  <si>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</si>
  <si>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</si>
  <si>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</si>
  <si>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</si>
  <si>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</si>
  <si>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</si>
  <si>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</si>
  <si>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</si>
  <si>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</si>
  <si>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</si>
  <si>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</si>
  <si>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</si>
  <si>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</si>
  <si>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</si>
  <si>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</si>
  <si>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</si>
  <si>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</si>
  <si>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</si>
  <si>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</si>
  <si>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</si>
  <si>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</si>
  <si>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</si>
  <si>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</si>
  <si>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</si>
  <si>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</si>
  <si>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</si>
  <si>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</si>
  <si>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</si>
  <si>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</si>
  <si>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</si>
  <si>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</si>
  <si>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</si>
  <si>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</si>
  <si>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</si>
  <si>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</si>
  <si>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</si>
  <si>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</si>
  <si>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</si>
  <si>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</si>
  <si>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</si>
  <si>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</si>
  <si>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</si>
  <si>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</si>
  <si>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</si>
  <si>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</si>
  <si>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</si>
  <si>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</si>
  <si>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</si>
  <si>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</si>
  <si>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</si>
  <si>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</si>
  <si>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</si>
  <si>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</si>
  <si>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</si>
  <si>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</si>
  <si>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</si>
  <si>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</si>
  <si>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</si>
  <si>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</si>
  <si>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</si>
  <si>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</si>
  <si>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</si>
  <si>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</si>
  <si>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</si>
  <si>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</si>
  <si>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</si>
  <si>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</si>
  <si>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</si>
  <si>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</si>
  <si>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</si>
  <si>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</si>
  <si>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</si>
  <si>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</si>
  <si>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</si>
  <si>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</si>
  <si>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</si>
  <si>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</si>
  <si>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</si>
  <si>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</si>
  <si>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</si>
  <si>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</si>
  <si>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</si>
  <si>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</si>
  <si>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</si>
  <si>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</si>
  <si>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</si>
  <si>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</si>
  <si>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</si>
  <si>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</si>
  <si>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</si>
  <si>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</si>
  <si>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</si>
  <si>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</si>
  <si>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</si>
  <si>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</si>
  <si>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</si>
  <si>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</si>
  <si>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</si>
  <si>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</si>
  <si>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</si>
  <si>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</si>
  <si>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</si>
  <si>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</si>
  <si>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</si>
  <si>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</si>
  <si>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</si>
  <si>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</si>
  <si>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</si>
  <si>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</si>
  <si>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</si>
  <si>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</si>
  <si>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</si>
  <si>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</si>
  <si>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</si>
  <si>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</si>
  <si>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</si>
  <si>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</si>
  <si>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</si>
  <si>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</si>
  <si>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</si>
  <si>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</si>
  <si>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</si>
  <si>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</si>
  <si>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</si>
  <si>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</si>
  <si>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</si>
  <si>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</si>
  <si>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</si>
  <si>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</si>
  <si>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</si>
  <si>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</si>
  <si>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</si>
  <si>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</si>
  <si>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</si>
  <si>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</si>
  <si>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</si>
  <si>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</si>
  <si>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</si>
  <si>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</si>
  <si>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</si>
  <si>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</si>
  <si>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</si>
  <si>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</si>
  <si>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</si>
  <si>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</si>
  <si>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</si>
  <si>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</si>
  <si>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</si>
  <si>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</si>
  <si>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</si>
  <si>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</si>
  <si>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</si>
  <si>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</si>
  <si>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</si>
  <si>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</si>
  <si>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</si>
  <si>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</si>
  <si>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</si>
  <si>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</si>
  <si>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</si>
  <si>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</si>
  <si>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</si>
  <si>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</si>
  <si>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</si>
  <si>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</si>
  <si>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</si>
  <si>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</si>
  <si>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</si>
  <si>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</si>
  <si>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</si>
  <si>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</si>
  <si>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</si>
  <si>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</si>
  <si>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</si>
  <si>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</si>
  <si>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</si>
  <si>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</si>
  <si>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</si>
  <si>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</si>
  <si>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</si>
  <si>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</si>
  <si>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</si>
  <si>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</si>
  <si>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</si>
  <si>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</si>
  <si>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</si>
  <si>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</si>
  <si>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</si>
  <si>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</si>
  <si>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</si>
  <si>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</si>
  <si>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</si>
  <si>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</si>
  <si>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</si>
  <si>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</si>
  <si>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</si>
  <si>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</si>
  <si>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</si>
  <si>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</si>
  <si>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</si>
  <si>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</si>
  <si>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</si>
  <si>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</si>
  <si>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</si>
  <si>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</si>
  <si>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</si>
  <si>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</si>
  <si>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</si>
  <si>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</si>
  <si>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</si>
  <si>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</si>
  <si>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</si>
  <si>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</si>
  <si>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</si>
  <si>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</si>
  <si>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</si>
  <si>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</si>
  <si>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</si>
  <si>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</si>
  <si>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</si>
  <si>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</si>
  <si>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</si>
  <si>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</si>
  <si>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</si>
  <si>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</si>
  <si>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</si>
  <si>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</si>
  <si>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</si>
  <si>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</si>
  <si>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</si>
  <si>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</si>
  <si>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</si>
  <si>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</si>
  <si>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</si>
  <si>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</si>
  <si>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</si>
  <si>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</si>
  <si>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</si>
  <si>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</si>
  <si>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</si>
  <si>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</si>
  <si>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</si>
  <si>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</si>
  <si>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</si>
  <si>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</si>
  <si>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</si>
  <si>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</si>
  <si>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</si>
  <si>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</si>
  <si>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</si>
  <si>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</si>
  <si>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</si>
  <si>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</si>
  <si>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</si>
  <si>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</si>
  <si>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</si>
  <si>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</si>
  <si>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</si>
  <si>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</si>
  <si>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</si>
  <si>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</si>
  <si>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</si>
  <si>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</si>
  <si>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</si>
  <si>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</si>
  <si>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</si>
  <si>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</si>
  <si>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</si>
  <si>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</si>
  <si>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</si>
  <si>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</si>
  <si>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</si>
  <si>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</si>
  <si>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</si>
  <si>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</si>
  <si>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</si>
  <si>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</si>
  <si>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</si>
  <si>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</si>
  <si>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</si>
  <si>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</si>
  <si>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</si>
  <si>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</si>
  <si>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</si>
  <si>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</si>
  <si>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</si>
  <si>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</si>
  <si>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</si>
  <si>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</si>
  <si>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</si>
  <si>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</si>
  <si>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</si>
  <si>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</si>
  <si>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</si>
  <si>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</si>
  <si>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</si>
  <si>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</si>
  <si>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</si>
  <si>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</si>
  <si>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</si>
  <si>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</si>
  <si>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</si>
  <si>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</si>
  <si>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</si>
  <si>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</si>
  <si>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</si>
  <si>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</si>
  <si>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</si>
  <si>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</si>
  <si>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</si>
  <si>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</si>
  <si>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</si>
  <si>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</si>
  <si>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</si>
  <si>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</si>
  <si>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</si>
  <si>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</si>
  <si>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</si>
  <si>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</si>
  <si>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</si>
  <si>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</si>
  <si>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</si>
  <si>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</si>
  <si>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</si>
  <si>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</si>
  <si>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</si>
  <si>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</si>
  <si>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</si>
  <si>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</si>
  <si>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</si>
  <si>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</si>
  <si>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</si>
  <si>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</si>
  <si>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</si>
  <si>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</si>
  <si>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</si>
  <si>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</si>
  <si>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</si>
  <si>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</si>
  <si>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</si>
  <si>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</si>
  <si>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</si>
  <si>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</si>
  <si>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</si>
  <si>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</si>
  <si>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</si>
  <si>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</si>
  <si>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</si>
  <si>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</si>
  <si>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</si>
  <si>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</si>
  <si>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</si>
  <si>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</si>
  <si>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</si>
  <si>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</si>
  <si>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</si>
  <si>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</si>
  <si>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</si>
  <si>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</si>
  <si>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</si>
  <si>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</si>
  <si>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</si>
  <si>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</si>
  <si>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</si>
  <si>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</si>
  <si>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</si>
  <si>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</si>
  <si>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</si>
  <si>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</si>
  <si>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</si>
  <si>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</si>
  <si>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</si>
  <si>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</si>
  <si>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</si>
  <si>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</si>
  <si>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</si>
  <si>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</si>
  <si>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</si>
  <si>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</si>
  <si>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</si>
  <si>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</si>
  <si>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</si>
  <si>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</si>
  <si>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</si>
  <si>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</si>
  <si>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</si>
  <si>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</si>
  <si>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</si>
  <si>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</si>
  <si>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</si>
  <si>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</si>
  <si>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</si>
  <si>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</si>
  <si>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</si>
  <si>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</si>
  <si>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</si>
  <si>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</si>
  <si>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</si>
  <si>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</si>
  <si>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</si>
  <si>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</si>
  <si>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</si>
  <si>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</si>
  <si>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</si>
  <si>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</si>
  <si>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</si>
  <si>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</si>
  <si>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</si>
  <si>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</si>
  <si>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</si>
  <si>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</si>
  <si>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</si>
  <si>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</si>
  <si>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</si>
  <si>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</si>
  <si>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</si>
  <si>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</si>
  <si>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</si>
  <si>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</si>
  <si>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</si>
  <si>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</si>
  <si>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</si>
  <si>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</si>
  <si>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</si>
  <si>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</si>
  <si>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</si>
  <si>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</si>
  <si>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</si>
  <si>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</si>
  <si>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</si>
  <si>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</si>
  <si>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</si>
  <si>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</si>
  <si>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</si>
  <si>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</si>
  <si>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</si>
  <si>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</si>
  <si>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</si>
  <si>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</si>
  <si>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</si>
  <si>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</si>
  <si>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</si>
  <si>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</si>
  <si>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</si>
  <si>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</si>
  <si>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</si>
  <si>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</si>
  <si>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</si>
  <si>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</si>
  <si>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</si>
  <si>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</si>
  <si>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</si>
  <si>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</si>
  <si>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</si>
  <si>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</si>
  <si>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</si>
  <si>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</si>
  <si>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</si>
  <si>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</si>
  <si>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</si>
  <si>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</si>
  <si>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</si>
  <si>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</si>
  <si>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</si>
  <si>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</si>
  <si>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</si>
  <si>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</si>
  <si>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</si>
  <si>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</si>
  <si>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</si>
  <si>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</si>
  <si>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</si>
  <si>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</si>
  <si>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</si>
  <si>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</si>
  <si>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</si>
  <si>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</si>
  <si>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</si>
  <si>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</si>
  <si>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</si>
  <si>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</si>
  <si>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</si>
  <si>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</si>
  <si>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</si>
  <si>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</si>
  <si>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</si>
  <si>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</si>
  <si>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</si>
  <si>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</si>
  <si>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</si>
  <si>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</si>
  <si>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</si>
  <si>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</si>
  <si>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</si>
  <si>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</si>
  <si>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</si>
  <si>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</si>
  <si>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</si>
  <si>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</si>
  <si>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</si>
  <si>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</si>
  <si>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</si>
  <si>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</si>
  <si>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</si>
  <si>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</si>
  <si>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</si>
  <si>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</si>
  <si>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</si>
  <si>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</si>
  <si>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</si>
  <si>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</si>
  <si>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</si>
  <si>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</si>
  <si>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</si>
  <si>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</si>
  <si>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</si>
  <si>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</si>
  <si>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</si>
  <si>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</si>
  <si>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</si>
  <si>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</si>
  <si>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</si>
  <si>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</si>
  <si>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</si>
  <si>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</si>
  <si>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</si>
  <si>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</si>
  <si>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</si>
  <si>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</si>
  <si>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</si>
  <si>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</si>
  <si>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</si>
  <si>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</si>
  <si>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</si>
  <si>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</si>
  <si>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</si>
  <si>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</si>
  <si>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</si>
  <si>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</si>
  <si>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</si>
  <si>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</si>
  <si>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</si>
  <si>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</si>
  <si>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</si>
  <si>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</si>
  <si>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</si>
  <si>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</si>
  <si>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</si>
  <si>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</si>
  <si>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</si>
  <si>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</si>
  <si>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</si>
  <si>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</si>
  <si>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</si>
  <si>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</si>
  <si>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</si>
  <si>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</si>
  <si>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</si>
  <si>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</si>
  <si>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</si>
  <si>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</si>
  <si>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</si>
  <si>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</si>
  <si>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</si>
  <si>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</si>
  <si>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</si>
  <si>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</si>
  <si>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</si>
  <si>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</si>
  <si>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</si>
  <si>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</si>
  <si>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</si>
  <si>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</si>
  <si>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</si>
  <si>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</si>
  <si>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</si>
  <si>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</si>
  <si>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</si>
  <si>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</si>
  <si>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</si>
  <si>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</si>
  <si>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</si>
  <si>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</si>
  <si>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</si>
  <si>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</si>
  <si>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</si>
  <si>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</si>
  <si>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</si>
  <si>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</si>
  <si>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</si>
  <si>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</si>
  <si>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</si>
  <si>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</si>
  <si>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</si>
  <si>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</si>
  <si>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</si>
  <si>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</si>
  <si>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</si>
  <si>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</si>
  <si>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</si>
  <si>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</si>
  <si>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</si>
  <si>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</si>
  <si>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</si>
  <si>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</si>
  <si>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</si>
  <si>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</si>
  <si>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</si>
  <si>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</si>
  <si>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</si>
  <si>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</si>
  <si>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</si>
  <si>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</si>
  <si>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</si>
  <si>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</si>
  <si>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</si>
  <si>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</si>
  <si>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</si>
  <si>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</si>
  <si>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</si>
  <si>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</si>
  <si>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</si>
  <si>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</si>
  <si>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</si>
  <si>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</si>
  <si>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</si>
  <si>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</si>
  <si>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</si>
  <si>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</si>
  <si>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</si>
  <si>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</si>
  <si>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</si>
  <si>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</si>
  <si>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</si>
  <si>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</si>
  <si>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</si>
  <si>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</si>
  <si>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</si>
  <si>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</si>
  <si>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</si>
  <si>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</si>
  <si>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</si>
  <si>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</si>
  <si>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</si>
  <si>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</si>
  <si>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</si>
  <si>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</si>
  <si>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</si>
  <si>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</si>
  <si>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</si>
  <si>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</si>
  <si>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</si>
  <si>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</si>
  <si>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</si>
  <si>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</si>
  <si>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</si>
  <si>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</si>
  <si>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</si>
  <si>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</si>
  <si>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</si>
  <si>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</si>
  <si>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</si>
  <si>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</si>
  <si>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</si>
  <si>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</si>
  <si>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</si>
  <si>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</si>
  <si>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</si>
  <si>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</si>
  <si>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</si>
  <si>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</si>
  <si>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</si>
  <si>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</si>
  <si>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</si>
  <si>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</si>
  <si>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</si>
  <si>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</si>
  <si>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</si>
  <si>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</si>
  <si>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</si>
  <si>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</si>
  <si>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</si>
  <si>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</si>
  <si>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</si>
  <si>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</si>
  <si>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</si>
  <si>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</si>
  <si>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</si>
  <si>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</si>
  <si>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</si>
  <si>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</si>
  <si>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</si>
  <si>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</si>
  <si>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</si>
  <si>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</si>
  <si>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</si>
  <si>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</si>
  <si>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</si>
  <si>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</si>
  <si>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</si>
  <si>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</si>
  <si>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</si>
  <si>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</si>
  <si>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</si>
  <si>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</si>
  <si>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</si>
  <si>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</si>
  <si>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</si>
  <si>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</si>
  <si>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</si>
  <si>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</si>
  <si>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</si>
  <si>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</si>
  <si>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</si>
  <si>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</si>
  <si>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</si>
  <si>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</si>
  <si>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</si>
  <si>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</si>
  <si>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</si>
  <si>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</si>
  <si>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</si>
  <si>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</si>
  <si>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</si>
  <si>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</si>
  <si>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</si>
  <si>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</si>
  <si>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</si>
  <si>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</si>
  <si>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</si>
  <si>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</si>
  <si>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</si>
  <si>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</si>
  <si>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</si>
  <si>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</si>
  <si>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</si>
  <si>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</si>
  <si>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</si>
  <si>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</si>
  <si>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</si>
  <si>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</si>
  <si>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</si>
  <si>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</si>
  <si>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</si>
  <si>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</si>
  <si>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</si>
  <si>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</si>
  <si>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</si>
  <si>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</si>
  <si>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</si>
  <si>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</si>
  <si>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</si>
  <si>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</si>
  <si>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</si>
  <si>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</si>
  <si>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</si>
  <si>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</si>
  <si>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</si>
  <si>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</si>
  <si>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</si>
  <si>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</si>
  <si>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</si>
  <si>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</si>
  <si>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</si>
  <si>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</si>
  <si>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</si>
  <si>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</si>
  <si>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</si>
  <si>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</si>
  <si>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</si>
  <si>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</si>
  <si>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</si>
  <si>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</si>
  <si>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</si>
  <si>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</si>
  <si>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</si>
  <si>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</si>
  <si>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</si>
  <si>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</si>
  <si>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</si>
  <si>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</si>
  <si>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</si>
  <si>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</si>
  <si>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</si>
  <si>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</si>
  <si>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</si>
  <si>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</si>
  <si>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</si>
  <si>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</si>
  <si>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</si>
  <si>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</si>
  <si>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</si>
  <si>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</si>
  <si>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</si>
  <si>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</si>
  <si>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</si>
  <si>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</si>
  <si>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</si>
  <si>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</si>
  <si>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</si>
  <si>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</si>
  <si>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</si>
  <si>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</si>
  <si>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</si>
  <si>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</si>
  <si>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</si>
  <si>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</si>
  <si>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</si>
  <si>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</si>
  <si>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</si>
  <si>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</si>
  <si>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</si>
  <si>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</si>
  <si>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</si>
  <si>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</si>
  <si>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</si>
  <si>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</si>
  <si>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</si>
  <si>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</si>
  <si>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</si>
  <si>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</si>
  <si>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</si>
  <si>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</si>
  <si>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</si>
  <si>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</si>
  <si>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</si>
  <si>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</si>
  <si>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</si>
  <si>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</si>
  <si>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</si>
  <si>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</si>
  <si>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</si>
  <si>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</si>
  <si>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</si>
  <si>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</si>
  <si>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</si>
  <si>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</si>
  <si>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</si>
  <si>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</si>
  <si>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</si>
  <si>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</si>
  <si>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</si>
  <si>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</si>
  <si>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</si>
  <si>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</si>
  <si>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</si>
  <si>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</si>
  <si>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</si>
  <si>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</si>
  <si>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</si>
  <si>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</si>
  <si>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</si>
  <si>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</si>
  <si>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</si>
  <si>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</si>
  <si>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</si>
  <si>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</si>
  <si>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</si>
  <si>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</si>
  <si>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</si>
  <si>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</si>
  <si>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</si>
  <si>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</si>
  <si>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</si>
  <si>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</si>
  <si>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</si>
  <si>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</si>
  <si>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</si>
  <si>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</si>
  <si>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</si>
  <si>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</si>
  <si>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</si>
  <si>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</si>
  <si>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</si>
  <si>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</si>
  <si>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</si>
  <si>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</si>
  <si>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</si>
  <si>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</si>
  <si>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</si>
  <si>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</si>
  <si>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</si>
  <si>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</si>
  <si>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</si>
  <si>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</si>
  <si>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</si>
  <si>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</si>
  <si>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</si>
  <si>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</si>
  <si>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</si>
  <si>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</si>
  <si>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</si>
  <si>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</si>
  <si>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</si>
  <si>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</si>
  <si>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</si>
  <si>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</si>
  <si>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</si>
  <si>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</si>
  <si>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</si>
  <si>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</si>
  <si>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</si>
  <si>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</si>
  <si>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</si>
  <si>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</si>
  <si>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</si>
  <si>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</si>
  <si>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</si>
  <si>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</si>
  <si>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</si>
  <si>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</si>
  <si>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</si>
  <si>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</si>
  <si>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</si>
  <si>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</si>
  <si>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</si>
  <si>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</si>
  <si>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</si>
  <si>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</si>
  <si>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</si>
  <si>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</si>
  <si>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</si>
  <si>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</si>
  <si>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</si>
  <si>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</si>
  <si>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</si>
  <si>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</si>
  <si>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</si>
  <si>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</si>
  <si>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</si>
  <si>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</si>
  <si>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</si>
  <si>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</si>
  <si>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</si>
  <si>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</si>
  <si>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</si>
  <si>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</si>
  <si>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</si>
  <si>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</si>
  <si>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</si>
  <si>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</si>
  <si>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</si>
  <si>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</si>
  <si>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</si>
  <si>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</si>
  <si>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</si>
  <si>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</si>
  <si>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</si>
  <si>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</si>
  <si>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</si>
  <si>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</si>
  <si>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</si>
  <si>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</si>
  <si>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</si>
  <si>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</si>
  <si>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</si>
  <si>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</si>
  <si>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</si>
  <si>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</si>
  <si>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</si>
  <si>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</si>
  <si>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</si>
  <si>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</si>
  <si>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</si>
  <si>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</si>
  <si>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</si>
  <si>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</si>
  <si>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</si>
  <si>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</si>
  <si>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</si>
  <si>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</si>
  <si>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</si>
  <si>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</si>
  <si>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</si>
  <si>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</si>
  <si>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</si>
  <si>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</si>
  <si>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</si>
  <si>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</si>
  <si>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</si>
  <si>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</si>
  <si>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</si>
  <si>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</si>
  <si>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</si>
  <si>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</si>
  <si>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</si>
  <si>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</si>
  <si>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</si>
  <si>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</si>
  <si>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</si>
  <si>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</si>
  <si>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</si>
  <si>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</si>
  <si>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</si>
  <si>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</si>
  <si>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</si>
  <si>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</si>
  <si>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</si>
  <si>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</si>
  <si>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</si>
  <si>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</si>
  <si>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</si>
  <si>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</si>
  <si>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</si>
  <si>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</si>
  <si>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</si>
  <si>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</si>
  <si>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</si>
  <si>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</si>
  <si>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</si>
  <si>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</si>
  <si>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</si>
  <si>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</si>
  <si>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</si>
  <si>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</si>
  <si>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</si>
  <si>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</si>
  <si>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</si>
  <si>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</si>
  <si>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</si>
  <si>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</si>
  <si>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</si>
  <si>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</si>
  <si>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</si>
  <si>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</si>
  <si>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</si>
  <si>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</si>
  <si>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</si>
  <si>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</si>
  <si>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</si>
  <si>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</si>
  <si>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</si>
  <si>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</si>
  <si>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</si>
  <si>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</si>
  <si>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</si>
  <si>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</si>
  <si>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</si>
  <si>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</si>
  <si>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</si>
  <si>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</si>
  <si>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</si>
  <si>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</si>
  <si>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</si>
  <si>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</si>
  <si>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</si>
  <si>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</si>
  <si>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</si>
  <si>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</si>
  <si>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</si>
  <si>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</si>
  <si>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</si>
  <si>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</si>
  <si>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</si>
  <si>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</si>
  <si>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</si>
  <si>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</si>
  <si>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</si>
  <si>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</si>
  <si>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</si>
  <si>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</si>
  <si>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</si>
  <si>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</si>
  <si>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</si>
  <si>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</si>
  <si>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</si>
  <si>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</si>
  <si>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</si>
  <si>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</si>
  <si>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</si>
  <si>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</si>
  <si>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</si>
  <si>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</si>
  <si>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</si>
  <si>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</si>
  <si>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</si>
  <si>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</si>
  <si>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</si>
  <si>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</si>
  <si>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</si>
  <si>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</si>
  <si>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</si>
  <si>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</si>
  <si>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</si>
  <si>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</si>
  <si>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</si>
  <si>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</si>
  <si>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</si>
  <si>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</si>
  <si>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</si>
  <si>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</si>
  <si>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</si>
  <si>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</si>
  <si>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</si>
  <si>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</si>
  <si>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</si>
  <si>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</si>
  <si>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</si>
  <si>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</si>
  <si>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</si>
  <si>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</si>
  <si>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</si>
  <si>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</si>
  <si>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</si>
  <si>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</si>
  <si>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</si>
  <si>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</si>
  <si>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</si>
  <si>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</si>
  <si>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</si>
  <si>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</si>
  <si>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</si>
  <si>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</si>
  <si>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</si>
  <si>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</si>
  <si>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</si>
  <si>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</si>
  <si>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</si>
  <si>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</si>
  <si>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</si>
  <si>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</si>
  <si>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</si>
  <si>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</si>
  <si>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</si>
  <si>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</si>
  <si>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</si>
  <si>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</si>
  <si>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</si>
  <si>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</si>
  <si>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</si>
  <si>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</si>
  <si>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</si>
  <si>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</si>
  <si>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</si>
  <si>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</si>
  <si>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</si>
  <si>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</si>
  <si>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</si>
  <si>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</si>
  <si>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</si>
  <si>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</si>
  <si>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</si>
  <si>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</si>
  <si>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</si>
  <si>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</si>
  <si>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</si>
  <si>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</si>
  <si>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</si>
  <si>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</si>
  <si>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</si>
  <si>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</si>
  <si>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</si>
  <si>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</si>
  <si>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</si>
  <si>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</si>
  <si>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</si>
  <si>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</si>
  <si>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</si>
  <si>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</si>
  <si>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</si>
  <si>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</si>
  <si>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</si>
  <si>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</si>
  <si>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</si>
  <si>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</si>
  <si>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</si>
  <si>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</si>
  <si>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</si>
  <si>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</si>
  <si>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</si>
  <si>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</si>
  <si>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</si>
  <si>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</si>
  <si>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</si>
  <si>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</si>
  <si>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</si>
  <si>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</si>
  <si>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</si>
  <si>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</si>
  <si>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</si>
  <si>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</si>
  <si>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</si>
  <si>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</si>
  <si>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</si>
  <si>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</si>
  <si>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</si>
  <si>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</si>
  <si>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</si>
  <si>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</si>
  <si>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</si>
  <si>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</si>
  <si>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</si>
  <si>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</si>
  <si>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</si>
  <si>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</si>
  <si>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</si>
  <si>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</si>
  <si>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</si>
  <si>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</si>
  <si>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</si>
  <si>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</si>
  <si>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</si>
  <si>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</si>
  <si>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</si>
  <si>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</si>
  <si>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</si>
  <si>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</si>
  <si>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</si>
  <si>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</si>
  <si>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</si>
  <si>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</si>
  <si>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</si>
  <si>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</si>
  <si>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</si>
  <si>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</si>
  <si>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</si>
  <si>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</si>
  <si>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</si>
  <si>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</si>
  <si>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</si>
  <si>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</si>
  <si>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</si>
  <si>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</si>
  <si>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</si>
  <si>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</si>
  <si>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</si>
  <si>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</si>
  <si>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</si>
  <si>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</si>
  <si>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</si>
  <si>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</si>
  <si>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</si>
  <si>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</si>
  <si>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</si>
  <si>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</si>
  <si>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</si>
  <si>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</si>
  <si>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</si>
  <si>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</si>
  <si>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</si>
  <si>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</si>
  <si>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</si>
  <si>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</si>
  <si>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</si>
  <si>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</si>
  <si>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</si>
  <si>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</si>
  <si>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</si>
  <si>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</si>
  <si>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</si>
  <si>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</si>
  <si>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</si>
  <si>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</si>
  <si>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</si>
  <si>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</si>
  <si>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</si>
  <si>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</si>
  <si>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</si>
  <si>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</si>
  <si>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</si>
  <si>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</si>
  <si>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</si>
  <si>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</si>
  <si>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</si>
  <si>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</si>
  <si>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</si>
  <si>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</si>
  <si>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</si>
  <si>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</si>
  <si>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</si>
  <si>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</si>
  <si>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</si>
  <si>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</si>
  <si>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</si>
  <si>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</si>
  <si>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</si>
  <si>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</si>
  <si>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</si>
  <si>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</si>
  <si>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</si>
  <si>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</si>
  <si>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</si>
  <si>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</si>
  <si>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</si>
  <si>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</si>
  <si>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</si>
  <si>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</si>
  <si>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</si>
  <si>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</si>
  <si>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</si>
  <si>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</si>
  <si>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</si>
  <si>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</si>
  <si>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</si>
  <si>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</si>
  <si>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</si>
  <si>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</si>
  <si>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</si>
  <si>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</si>
  <si>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</si>
  <si>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</si>
  <si>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</si>
  <si>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</si>
  <si>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</si>
  <si>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</si>
  <si>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</si>
  <si>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</si>
  <si>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</si>
  <si>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</si>
  <si>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</si>
  <si>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</si>
  <si>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</si>
  <si>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</si>
  <si>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</si>
  <si>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</si>
  <si>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</si>
  <si>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</si>
  <si>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</si>
  <si>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</si>
  <si>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</si>
  <si>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</si>
  <si>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</si>
  <si>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</si>
  <si>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</si>
  <si>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</si>
  <si>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</si>
  <si>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</si>
  <si>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</si>
  <si>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</si>
  <si>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</si>
  <si>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</si>
  <si>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</si>
  <si>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</si>
  <si>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</si>
  <si>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</si>
  <si>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</si>
  <si>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</si>
  <si>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</si>
  <si>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</si>
  <si>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</si>
  <si>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</si>
  <si>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</si>
  <si>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</si>
  <si>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</si>
  <si>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</si>
  <si>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</si>
  <si>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</si>
  <si>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</si>
  <si>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</si>
  <si>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</si>
  <si>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</si>
  <si>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</si>
  <si>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</si>
  <si>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</si>
  <si>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</si>
  <si>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</si>
  <si>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</si>
  <si>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</si>
  <si>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</si>
  <si>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</si>
  <si>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</si>
  <si>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</si>
  <si>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</si>
  <si>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</si>
  <si>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</si>
  <si>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</si>
  <si>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</si>
  <si>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</si>
  <si>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</si>
  <si>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</si>
  <si>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</si>
  <si>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</si>
  <si>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</si>
  <si>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</si>
  <si>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</si>
  <si>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</si>
  <si>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</si>
  <si>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</si>
  <si>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</si>
  <si>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</si>
  <si>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</si>
  <si>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</si>
  <si>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</si>
  <si>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</si>
  <si>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</si>
  <si>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</si>
  <si>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</si>
  <si>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</si>
  <si>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</si>
  <si>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</si>
  <si>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</si>
  <si>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</si>
  <si>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</si>
  <si>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</si>
  <si>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</si>
  <si>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</si>
  <si>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</si>
  <si>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</si>
  <si>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</si>
  <si>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</si>
  <si>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</si>
  <si>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</si>
  <si>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</si>
  <si>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</si>
  <si>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</si>
  <si>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</si>
  <si>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</si>
  <si>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</si>
  <si>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</si>
  <si>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</si>
  <si>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</si>
  <si>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</si>
  <si>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</si>
  <si>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</si>
  <si>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</si>
  <si>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</si>
  <si>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</si>
  <si>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</si>
  <si>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</si>
  <si>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</si>
  <si>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</si>
  <si>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</si>
  <si>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</si>
  <si>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</si>
  <si>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</si>
  <si>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</si>
  <si>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</si>
  <si>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</si>
  <si>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</si>
  <si>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</si>
  <si>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</si>
  <si>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</si>
  <si>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</si>
  <si>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</si>
  <si>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</si>
  <si>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</si>
  <si>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</si>
  <si>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</si>
  <si>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</si>
  <si>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</si>
  <si>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</si>
  <si>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</si>
  <si>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</si>
  <si>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</si>
  <si>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</si>
  <si>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</si>
  <si>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</si>
  <si>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</si>
  <si>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</si>
  <si>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</si>
  <si>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</si>
  <si>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</si>
  <si>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</si>
  <si>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</si>
  <si>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</si>
  <si>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</si>
  <si>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</si>
  <si>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</si>
  <si>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</si>
  <si>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</si>
  <si>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</si>
  <si>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</si>
  <si>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</si>
  <si>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</si>
  <si>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</si>
  <si>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</si>
  <si>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</si>
  <si>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</si>
  <si>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</si>
  <si>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</si>
  <si>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</si>
  <si>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</si>
  <si>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</si>
  <si>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</si>
  <si>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</si>
  <si>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</si>
  <si>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</si>
  <si>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</si>
  <si>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</si>
  <si>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</si>
  <si>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</si>
  <si>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</si>
  <si>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</si>
  <si>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</si>
  <si>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</si>
  <si>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</si>
  <si>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</si>
  <si>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</si>
  <si>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</si>
  <si>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</si>
  <si>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</si>
  <si>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</si>
  <si>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</si>
  <si>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</si>
  <si>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</si>
  <si>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</si>
  <si>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</si>
  <si>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</si>
  <si>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</si>
  <si>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</si>
  <si>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</si>
  <si>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</si>
  <si>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</si>
  <si>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</si>
  <si>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</si>
  <si>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</si>
  <si>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</si>
  <si>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</si>
  <si>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</si>
  <si>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</si>
  <si>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</si>
  <si>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</si>
  <si>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</si>
  <si>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</si>
  <si>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</si>
  <si>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</si>
  <si>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</si>
  <si>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</si>
  <si>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</si>
  <si>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</si>
  <si>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</si>
  <si>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</si>
  <si>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</si>
  <si>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</si>
  <si>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</si>
  <si>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</si>
  <si>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</si>
  <si>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</si>
  <si>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</si>
  <si>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</si>
  <si>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</si>
  <si>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</si>
  <si>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</si>
  <si>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</si>
  <si>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</si>
  <si>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</si>
  <si>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</si>
  <si>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</si>
  <si>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</si>
  <si>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</si>
  <si>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</si>
  <si>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</si>
  <si>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</si>
  <si>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</si>
  <si>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</si>
  <si>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</si>
  <si>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</si>
  <si>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</si>
  <si>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</si>
  <si>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</si>
  <si>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</si>
  <si>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</si>
  <si>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</si>
  <si>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</si>
  <si>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</si>
  <si>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</si>
  <si>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</si>
  <si>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</si>
  <si>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</si>
  <si>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</si>
  <si>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</si>
  <si>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</si>
  <si>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</si>
  <si>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</si>
  <si>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</si>
  <si>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</si>
  <si>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</si>
  <si>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</si>
  <si>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</si>
  <si>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</si>
  <si>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</si>
  <si>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</si>
  <si>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</si>
  <si>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</si>
  <si>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</si>
  <si>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</si>
  <si>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</si>
  <si>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</si>
  <si>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</si>
  <si>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</si>
  <si>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</si>
  <si>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</si>
  <si>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</si>
  <si>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</si>
  <si>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</si>
  <si>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</si>
  <si>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</si>
  <si>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</si>
  <si>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</si>
  <si>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</si>
  <si>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</si>
  <si>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</si>
  <si>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</si>
  <si>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</si>
  <si>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</si>
  <si>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</si>
  <si>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</si>
  <si>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</si>
  <si>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</si>
  <si>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</si>
  <si>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</si>
  <si>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</si>
  <si>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</si>
  <si>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</si>
  <si>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</si>
  <si>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</si>
  <si>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</si>
  <si>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</si>
  <si>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</si>
  <si>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</si>
  <si>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</si>
  <si>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</si>
  <si>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</si>
  <si>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</si>
  <si>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</si>
  <si>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</si>
  <si>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</si>
  <si>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</si>
  <si>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</si>
  <si>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</si>
  <si>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</si>
  <si>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</si>
  <si>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</si>
  <si>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</si>
  <si>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</si>
  <si>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</si>
  <si>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</si>
  <si>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</si>
  <si>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</si>
  <si>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</si>
  <si>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</si>
  <si>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</si>
  <si>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</si>
  <si>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</si>
  <si>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</si>
  <si>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</si>
  <si>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</si>
  <si>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</si>
  <si>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</si>
  <si>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</si>
  <si>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</si>
  <si>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</si>
  <si>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</si>
  <si>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</si>
  <si>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</si>
  <si>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</si>
  <si>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</si>
  <si>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</si>
  <si>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</si>
  <si>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</si>
  <si>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</si>
  <si>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</si>
  <si>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</si>
  <si>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</si>
  <si>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</si>
  <si>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</si>
  <si>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</si>
  <si>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</si>
  <si>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</si>
  <si>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</si>
  <si>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</si>
  <si>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</si>
  <si>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</si>
  <si>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</si>
  <si>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</si>
  <si>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</si>
  <si>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</si>
  <si>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</si>
  <si>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</si>
  <si>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</si>
  <si>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</si>
  <si>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</si>
  <si>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</si>
  <si>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</si>
  <si>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</si>
  <si>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</si>
  <si>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</si>
  <si>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</si>
  <si>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</si>
  <si>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</si>
  <si>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</si>
  <si>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</si>
  <si>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</si>
  <si>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</si>
  <si>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</si>
  <si>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</si>
  <si>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</si>
  <si>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</si>
  <si>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</si>
  <si>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</si>
  <si>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</si>
  <si>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</si>
  <si>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</si>
  <si>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</si>
  <si>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</si>
  <si>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</si>
  <si>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</si>
  <si>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</si>
  <si>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</si>
  <si>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</si>
  <si>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</si>
  <si>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</si>
  <si>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</si>
  <si>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</si>
  <si>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</si>
  <si>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</si>
  <si>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</si>
  <si>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</si>
  <si>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</si>
  <si>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</si>
  <si>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</si>
  <si>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</si>
  <si>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</si>
  <si>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</si>
  <si>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</si>
  <si>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</si>
  <si>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</si>
  <si>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</si>
  <si>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</si>
  <si>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</si>
  <si>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</si>
  <si>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</si>
  <si>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</si>
  <si>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</si>
  <si>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</si>
  <si>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</si>
  <si>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</si>
  <si>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</si>
  <si>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</si>
  <si>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</si>
  <si>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</si>
  <si>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</si>
  <si>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</si>
  <si>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</si>
  <si>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</si>
  <si>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</si>
  <si>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</si>
  <si>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</si>
  <si>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</si>
  <si>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</si>
  <si>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</si>
  <si>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</si>
  <si>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</si>
  <si>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</si>
  <si>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</si>
  <si>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</si>
  <si>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</si>
  <si>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</si>
  <si>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</si>
  <si>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</si>
  <si>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</si>
  <si>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</si>
  <si>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</si>
  <si>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</si>
  <si>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</si>
  <si>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</si>
  <si>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</si>
  <si>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</si>
  <si>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</si>
  <si>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</si>
  <si>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</si>
  <si>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</si>
  <si>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</si>
  <si>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</si>
  <si>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</si>
  <si>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</si>
  <si>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</si>
  <si>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</si>
  <si>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</si>
  <si>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</si>
  <si>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</si>
  <si>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</si>
  <si>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</si>
  <si>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</si>
  <si>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</si>
  <si>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</si>
  <si>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</si>
  <si>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</si>
  <si>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</si>
  <si>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</si>
  <si>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</si>
  <si>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</si>
  <si>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</si>
  <si>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</si>
  <si>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</si>
  <si>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</si>
  <si>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</si>
  <si>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</si>
  <si>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</si>
  <si>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</si>
  <si>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</si>
  <si>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</si>
  <si>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</si>
  <si>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</si>
  <si>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</si>
  <si>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</si>
  <si>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</si>
  <si>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</si>
  <si>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</si>
  <si>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</si>
  <si>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</si>
  <si>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</si>
  <si>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</si>
  <si>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</si>
  <si>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</si>
  <si>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</si>
  <si>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</si>
  <si>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</si>
  <si>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</si>
  <si>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</si>
  <si>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</si>
  <si>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</si>
  <si>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</si>
  <si>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</si>
  <si>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</si>
  <si>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</si>
  <si>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</si>
  <si>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</si>
  <si>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</si>
  <si>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</si>
  <si>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</si>
  <si>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</si>
  <si>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</si>
  <si>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</si>
  <si>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</si>
  <si>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</si>
  <si>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</si>
  <si>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</si>
  <si>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</si>
  <si>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</si>
  <si>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</si>
  <si>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</si>
  <si>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</si>
  <si>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</si>
  <si>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</si>
  <si>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</si>
  <si>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</si>
  <si>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</si>
  <si>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</si>
  <si>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</si>
  <si>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</si>
  <si>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</si>
  <si>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</si>
  <si>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</si>
  <si>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</si>
  <si>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</si>
  <si>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</si>
  <si>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</si>
  <si>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</si>
  <si>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</si>
  <si>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</si>
  <si>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</si>
  <si>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</si>
  <si>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</si>
  <si>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</si>
  <si>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</si>
  <si>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</si>
  <si>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</si>
  <si>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</si>
  <si>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</si>
  <si>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</si>
  <si>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</si>
  <si>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</si>
  <si>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</si>
  <si>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</si>
  <si>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</si>
  <si>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</si>
  <si>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</si>
  <si>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</si>
  <si>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</si>
  <si>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</si>
  <si>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</si>
  <si>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</si>
  <si>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</si>
  <si>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</si>
  <si>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</si>
  <si>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</si>
  <si>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</si>
  <si>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</si>
  <si>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</si>
  <si>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</si>
  <si>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</si>
  <si>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</si>
  <si>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</si>
  <si>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</si>
  <si>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</si>
  <si>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</si>
  <si>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</si>
  <si>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</si>
  <si>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</si>
  <si>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</si>
  <si>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</si>
  <si>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</si>
  <si>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</si>
  <si>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</si>
  <si>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</si>
  <si>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</si>
  <si>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</si>
  <si>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</si>
  <si>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</si>
  <si>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</si>
  <si>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</si>
  <si>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</si>
  <si>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</si>
  <si>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</si>
  <si>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</si>
  <si>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</si>
  <si>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</si>
  <si>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</si>
  <si>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</si>
  <si>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</si>
  <si>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</si>
  <si>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</si>
  <si>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</si>
  <si>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</si>
  <si>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</si>
  <si>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</si>
  <si>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</si>
  <si>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</si>
  <si>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</si>
  <si>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</si>
  <si>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</si>
  <si>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</si>
  <si>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</si>
  <si>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</si>
  <si>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</si>
  <si>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</si>
  <si>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</si>
  <si>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</si>
  <si>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</si>
  <si>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</si>
  <si>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</si>
  <si>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</si>
  <si>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</si>
  <si>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</si>
  <si>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</si>
  <si>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</si>
  <si>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</si>
  <si>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</si>
  <si>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</si>
  <si>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</si>
  <si>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</si>
  <si>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</si>
  <si>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</si>
  <si>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</si>
  <si>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</si>
  <si>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</si>
  <si>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</si>
  <si>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</si>
  <si>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</si>
  <si>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</si>
  <si>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</si>
  <si>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</si>
  <si>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</si>
  <si>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</si>
  <si>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</si>
  <si>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</si>
  <si>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</si>
  <si>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</si>
  <si>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</si>
  <si>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</si>
  <si>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</si>
  <si>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</si>
  <si>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</si>
  <si>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</si>
  <si>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</si>
  <si>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</si>
  <si>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</si>
  <si>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</si>
  <si>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</si>
  <si>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</si>
  <si>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</si>
  <si>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</si>
  <si>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</si>
  <si>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</si>
  <si>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</si>
  <si>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</si>
  <si>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</si>
  <si>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</si>
  <si>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</si>
  <si>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</si>
  <si>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</si>
  <si>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</si>
  <si>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</si>
  <si>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</si>
  <si>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</si>
  <si>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</si>
  <si>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</si>
  <si>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</si>
  <si>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</si>
  <si>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</si>
  <si>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</si>
  <si>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</si>
  <si>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</si>
  <si>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</si>
  <si>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</si>
  <si>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</si>
  <si>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</si>
  <si>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</si>
  <si>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</si>
  <si>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</si>
  <si>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</si>
  <si>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</si>
  <si>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</si>
  <si>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</si>
  <si>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</si>
  <si>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</si>
  <si>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</si>
  <si>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</si>
  <si>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</si>
  <si>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</si>
  <si>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</si>
  <si>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</si>
  <si>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</si>
  <si>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</si>
  <si>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</si>
  <si>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</si>
  <si>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</si>
  <si>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</si>
  <si>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</si>
  <si>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</si>
  <si>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</si>
  <si>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</si>
  <si>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</si>
  <si>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</si>
  <si>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</si>
  <si>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</si>
  <si>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</si>
  <si>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</si>
  <si>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</si>
  <si>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</si>
  <si>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</si>
  <si>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</si>
  <si>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</si>
  <si>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</si>
  <si>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</si>
  <si>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</si>
  <si>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</si>
  <si>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</si>
  <si>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</si>
  <si>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</si>
  <si>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</si>
  <si>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</si>
  <si>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</si>
  <si>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</si>
  <si>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</si>
  <si>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</si>
  <si>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</si>
  <si>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</si>
  <si>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</si>
  <si>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</si>
  <si>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</si>
  <si>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</si>
  <si>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</si>
  <si>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</si>
  <si>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</si>
  <si>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</si>
  <si>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</si>
  <si>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</si>
  <si>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</si>
  <si>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</si>
  <si>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</si>
  <si>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</si>
  <si>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</si>
  <si>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</si>
  <si>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</si>
  <si>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</si>
  <si>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</si>
  <si>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</si>
  <si>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</si>
  <si>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</si>
  <si>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</si>
  <si>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</si>
  <si>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</si>
  <si>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</si>
  <si>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</si>
  <si>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</si>
  <si>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</si>
  <si>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</si>
  <si>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</si>
  <si>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</si>
  <si>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</si>
  <si>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</si>
  <si>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</si>
  <si>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</si>
  <si>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</si>
  <si>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</si>
  <si>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</si>
  <si>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</si>
  <si>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</si>
  <si>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</si>
  <si>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</si>
  <si>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</si>
  <si>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</si>
  <si>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</si>
  <si>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</si>
  <si>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</si>
  <si>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</si>
  <si>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</si>
  <si>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</si>
  <si>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</si>
  <si>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</si>
  <si>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</si>
  <si>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</si>
  <si>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</si>
  <si>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</si>
  <si>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</si>
  <si>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</si>
  <si>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</si>
  <si>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</si>
  <si>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</si>
  <si>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</si>
  <si>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</si>
  <si>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</si>
  <si>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</si>
  <si>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</si>
  <si>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</si>
  <si>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</si>
  <si>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</si>
  <si>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</si>
  <si>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</si>
  <si>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</si>
  <si>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</si>
  <si>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</si>
  <si>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</si>
  <si>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</si>
  <si>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</si>
  <si>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</si>
  <si>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</si>
  <si>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</si>
  <si>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</si>
  <si>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</si>
  <si>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</si>
  <si>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</si>
  <si>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</si>
  <si>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</si>
  <si>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</si>
  <si>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</si>
  <si>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</si>
  <si>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</si>
  <si>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</si>
  <si>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</si>
  <si>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</si>
  <si>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</si>
  <si>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</si>
  <si>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</si>
  <si>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</si>
  <si>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</si>
  <si>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</si>
  <si>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</si>
  <si>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</si>
  <si>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</si>
  <si>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</si>
  <si>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</si>
  <si>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</si>
  <si>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</si>
  <si>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</si>
  <si>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</si>
  <si>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</si>
  <si>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</si>
  <si>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</si>
  <si>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</si>
  <si>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</si>
  <si>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</si>
  <si>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</si>
  <si>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</si>
  <si>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</si>
  <si>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</si>
  <si>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</si>
  <si>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</si>
  <si>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</si>
  <si>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</si>
  <si>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</si>
  <si>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</si>
  <si>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</si>
  <si>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</si>
  <si>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</si>
  <si>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</si>
  <si>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</si>
  <si>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</si>
  <si>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</si>
  <si>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</si>
  <si>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</si>
  <si>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</si>
  <si>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</si>
  <si>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</si>
  <si>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</si>
  <si>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</si>
  <si>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</si>
  <si>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</si>
  <si>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</si>
  <si>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</si>
  <si>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</si>
  <si>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</si>
  <si>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</si>
  <si>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</si>
  <si>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</si>
  <si>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</si>
  <si>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</si>
  <si>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</si>
  <si>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</si>
  <si>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</si>
  <si>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</si>
  <si>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</si>
  <si>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</si>
  <si>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</si>
  <si>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</si>
  <si>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</si>
  <si>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</si>
  <si>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</si>
  <si>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</si>
  <si>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</si>
  <si>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</si>
  <si>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</si>
  <si>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</si>
  <si>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</si>
  <si>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</si>
  <si>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</si>
  <si>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</si>
  <si>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</si>
  <si>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</si>
  <si>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</si>
  <si>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</si>
  <si>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</si>
  <si>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</si>
  <si>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</si>
  <si>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</si>
  <si>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</si>
  <si>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</si>
  <si>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</si>
  <si>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</si>
  <si>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</si>
  <si>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</si>
  <si>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</si>
  <si>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</si>
  <si>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</si>
  <si>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</si>
  <si>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</si>
  <si>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</si>
  <si>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</si>
  <si>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</si>
  <si>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</si>
  <si>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</si>
  <si>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</si>
  <si>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</si>
  <si>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</si>
  <si>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</si>
  <si>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</si>
  <si>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</si>
  <si>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</si>
  <si>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</si>
  <si>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</si>
  <si>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</si>
  <si>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</si>
  <si>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</si>
  <si>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</si>
  <si>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</si>
  <si>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</si>
  <si>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</si>
  <si>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</si>
  <si>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</si>
  <si>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</si>
  <si>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</si>
  <si>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</si>
  <si>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</si>
  <si>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</si>
  <si>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</si>
  <si>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</si>
  <si>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</si>
  <si>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</si>
  <si>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</si>
  <si>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</si>
  <si>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</si>
  <si>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</si>
  <si>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</si>
  <si>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</si>
  <si>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</si>
  <si>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</si>
  <si>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</si>
  <si>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</si>
  <si>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</si>
  <si>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</si>
  <si>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</si>
  <si>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</si>
  <si>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</si>
  <si>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</si>
  <si>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</si>
  <si>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</si>
  <si>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</si>
  <si>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</si>
  <si>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</si>
  <si>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</si>
  <si>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</si>
  <si>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</si>
  <si>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</si>
  <si>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</si>
  <si>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</si>
  <si>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</si>
  <si>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</si>
  <si>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</si>
  <si>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</si>
  <si>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</si>
  <si>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</si>
  <si>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</si>
  <si>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</si>
  <si>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</si>
  <si>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</si>
  <si>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</si>
  <si>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</si>
  <si>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</si>
  <si>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</si>
  <si>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</si>
  <si>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</si>
  <si>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</si>
  <si>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</si>
  <si>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</si>
  <si>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</si>
  <si>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</si>
  <si>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</si>
  <si>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</si>
  <si>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</si>
  <si>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</si>
  <si>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</si>
  <si>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</si>
  <si>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</si>
  <si>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</si>
  <si>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</si>
  <si>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</si>
  <si>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</si>
  <si>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</si>
  <si>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</si>
  <si>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</si>
  <si>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</si>
  <si>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</si>
  <si>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</si>
  <si>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</si>
  <si>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</si>
  <si>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</si>
  <si>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</si>
  <si>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</si>
  <si>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</si>
  <si>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</si>
  <si>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</si>
  <si>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</si>
  <si>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</si>
  <si>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</si>
  <si>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</si>
  <si>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</si>
  <si>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</si>
  <si>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</si>
  <si>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</si>
  <si>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</si>
  <si>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</si>
  <si>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</si>
  <si>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</si>
  <si>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</si>
  <si>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</si>
  <si>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</si>
  <si>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</si>
  <si>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</si>
  <si>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</si>
  <si>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</si>
  <si>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</si>
  <si>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</si>
  <si>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</si>
  <si>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</si>
  <si>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</si>
  <si>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</si>
  <si>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</si>
  <si>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</si>
  <si>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</si>
  <si>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</si>
  <si>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</si>
  <si>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</si>
  <si>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</si>
  <si>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</si>
  <si>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</si>
  <si>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</si>
  <si>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</si>
  <si>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</si>
  <si>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</si>
  <si>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</si>
  <si>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</si>
  <si>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</si>
  <si>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</si>
  <si>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</si>
  <si>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</si>
  <si>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</si>
  <si>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</si>
  <si>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</si>
  <si>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</si>
  <si>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</si>
  <si>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</si>
  <si>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</si>
  <si>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</si>
  <si>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</si>
  <si>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</si>
  <si>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</si>
  <si>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</si>
  <si>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</si>
  <si>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</si>
  <si>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</si>
  <si>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</si>
  <si>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</si>
  <si>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</si>
  <si>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</si>
  <si>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</si>
  <si>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</si>
  <si>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</si>
  <si>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</si>
  <si>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</si>
  <si>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</si>
  <si>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</si>
  <si>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</si>
  <si>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</si>
  <si>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</si>
  <si>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</si>
  <si>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</si>
  <si>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</si>
  <si>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</si>
  <si>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</si>
  <si>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</si>
  <si>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</si>
  <si>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</si>
  <si>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</si>
  <si>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</si>
  <si>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</si>
  <si>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</si>
  <si>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</si>
  <si>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</si>
  <si>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</si>
  <si>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</si>
  <si>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</si>
  <si>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</si>
  <si>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</si>
  <si>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</si>
  <si>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</si>
  <si>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</si>
  <si>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</si>
  <si>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</si>
  <si>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</si>
  <si>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</si>
  <si>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</si>
  <si>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</si>
  <si>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</si>
  <si>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</si>
  <si>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</si>
  <si>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</si>
  <si>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</si>
  <si>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</si>
  <si>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</si>
  <si>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</si>
  <si>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</si>
  <si>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</si>
  <si>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</si>
  <si>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</si>
  <si>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</si>
  <si>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</si>
  <si>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</si>
  <si>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</si>
  <si>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</si>
  <si>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</si>
  <si>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</si>
  <si>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</si>
  <si>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</si>
  <si>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</si>
  <si>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</si>
  <si>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</si>
  <si>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</si>
  <si>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</si>
  <si>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</si>
  <si>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</si>
  <si>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</si>
  <si>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</si>
  <si>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</si>
  <si>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</si>
  <si>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</si>
  <si>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</si>
  <si>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</si>
  <si>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</si>
  <si>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</si>
  <si>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</si>
  <si>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</si>
  <si>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</si>
  <si>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</si>
  <si>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</si>
  <si>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</si>
  <si>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</si>
  <si>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</si>
  <si>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</si>
  <si>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</si>
  <si>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</si>
  <si>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</si>
  <si>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</si>
  <si>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</si>
  <si>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</si>
  <si>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</si>
  <si>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</si>
  <si>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</si>
  <si>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</si>
  <si>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</si>
  <si>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</si>
  <si>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</si>
  <si>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</si>
  <si>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</si>
  <si>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</si>
  <si>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</si>
  <si>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</si>
  <si>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</si>
  <si>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</si>
  <si>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</si>
  <si>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</si>
  <si>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</si>
  <si>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</si>
  <si>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</si>
  <si>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</si>
  <si>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</si>
  <si>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</si>
  <si>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</si>
  <si>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</si>
  <si>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</si>
  <si>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</si>
  <si>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</si>
  <si>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</si>
  <si>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</si>
  <si>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</si>
  <si>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</si>
  <si>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</si>
  <si>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</si>
  <si>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</si>
  <si>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</si>
  <si>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</si>
  <si>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</si>
  <si>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</si>
  <si>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</si>
  <si>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</si>
  <si>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</si>
  <si>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</si>
  <si>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</si>
  <si>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</si>
  <si>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</si>
  <si>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</si>
  <si>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</si>
  <si>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</si>
  <si>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</si>
  <si>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</si>
  <si>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</si>
  <si>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</si>
  <si>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</si>
  <si>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</si>
  <si>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</si>
  <si>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</si>
  <si>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</si>
  <si>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</si>
  <si>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</si>
  <si>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</si>
  <si>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</si>
  <si>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</si>
  <si>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</si>
  <si>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</si>
  <si>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</si>
  <si>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</si>
  <si>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</si>
  <si>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</si>
  <si>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</si>
  <si>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</si>
  <si>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</si>
  <si>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</si>
  <si>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</si>
  <si>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</si>
  <si>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</si>
  <si>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</si>
  <si>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</si>
  <si>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</si>
  <si>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</si>
  <si>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</si>
  <si>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</si>
  <si>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</si>
  <si>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</si>
  <si>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</si>
  <si>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</si>
  <si>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</si>
  <si>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</si>
  <si>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</si>
  <si>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</si>
  <si>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</si>
  <si>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</si>
  <si>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</si>
  <si>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</si>
  <si>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</si>
  <si>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</si>
  <si>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</si>
  <si>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</si>
  <si>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</si>
  <si>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</si>
  <si>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</si>
  <si>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</si>
  <si>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</si>
  <si>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</si>
  <si>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</si>
  <si>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</si>
  <si>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</si>
  <si>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</si>
  <si>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</si>
  <si>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</si>
  <si>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</si>
  <si>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</si>
  <si>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</si>
  <si>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</si>
  <si>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</si>
  <si>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</si>
  <si>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</si>
  <si>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</si>
  <si>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</si>
  <si>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</si>
  <si>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</si>
  <si>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</si>
  <si>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</si>
  <si>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</si>
  <si>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</si>
  <si>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</si>
  <si>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</si>
  <si>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</si>
  <si>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</si>
  <si>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</si>
  <si>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</si>
  <si>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</si>
  <si>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</si>
  <si>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</si>
  <si>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</si>
  <si>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</si>
  <si>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</si>
  <si>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</si>
  <si>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</si>
  <si>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</si>
  <si>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</si>
  <si>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</si>
  <si>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</si>
  <si>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</si>
  <si>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</si>
  <si>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</si>
  <si>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</si>
  <si>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</si>
  <si>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</si>
  <si>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</si>
  <si>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</si>
  <si>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</si>
  <si>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</si>
  <si>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</si>
  <si>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</si>
  <si>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</si>
  <si>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</si>
  <si>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</si>
  <si>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</si>
  <si>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</si>
  <si>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</si>
  <si>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</si>
  <si>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</si>
  <si>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</si>
  <si>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</si>
  <si>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</si>
  <si>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تعداد 182532 عدد سهام وغدیر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</si>
  <si>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</si>
  <si>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</si>
  <si>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</si>
  <si>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</si>
  <si>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</si>
  <si>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</si>
  <si>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</si>
  <si>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</si>
  <si>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</si>
  <si>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</si>
  <si>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</si>
  <si>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</si>
  <si>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</si>
  <si>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</si>
  <si>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</si>
  <si>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</si>
  <si>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</si>
  <si>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</si>
  <si>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</si>
  <si>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</si>
  <si>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</si>
  <si>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</si>
  <si>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</si>
  <si>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</si>
  <si>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</si>
  <si>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</si>
  <si>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</si>
  <si>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</si>
  <si>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</si>
  <si>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</si>
  <si>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</si>
  <si>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</si>
  <si>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وغدیر 1218678 تا 192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</si>
  <si>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</si>
  <si>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</si>
  <si>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</si>
  <si>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</si>
  <si>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وغدیر 45000 تا 192.6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</si>
  <si>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</si>
  <si>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</si>
  <si>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</si>
  <si>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</si>
  <si>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</si>
  <si>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</si>
  <si>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</si>
  <si>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</si>
  <si>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بدهی به داریوش 25/7</t>
  </si>
  <si>
    <t>خرید وغدیر  شاراک شپدیس شلرد ونیروح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</si>
</sst>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4284</v>
      </c>
      <c r="B1" t="s">
        <v>4285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7" workbookViewId="0">
      <selection activeCell="E65" sqref="E6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4210</v>
      </c>
      <c r="B4" s="18">
        <v>-52440</v>
      </c>
      <c r="C4" s="18">
        <v>0</v>
      </c>
      <c r="D4" s="113">
        <f t="shared" si="0"/>
        <v>-52440</v>
      </c>
      <c r="E4" s="99" t="s">
        <v>4216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4217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4219</v>
      </c>
      <c r="B6" s="18">
        <v>-200000</v>
      </c>
      <c r="C6" s="18">
        <v>0</v>
      </c>
      <c r="D6" s="113">
        <f t="shared" si="0"/>
        <v>-200000</v>
      </c>
      <c r="E6" s="19" t="s">
        <v>4220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4221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4222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4222</v>
      </c>
      <c r="B9" s="18">
        <v>-30000</v>
      </c>
      <c r="C9" s="18">
        <v>0</v>
      </c>
      <c r="D9" s="113">
        <f t="shared" si="0"/>
        <v>-30000</v>
      </c>
      <c r="E9" s="21" t="s">
        <v>4223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4226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4227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4231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4236</v>
      </c>
      <c r="B14" s="18">
        <v>1548000</v>
      </c>
      <c r="C14" s="18">
        <v>0</v>
      </c>
      <c r="D14" s="113">
        <f t="shared" si="0"/>
        <v>1548000</v>
      </c>
      <c r="E14" s="20" t="s">
        <v>4280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4267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4281</v>
      </c>
      <c r="B16" s="18">
        <v>-5000</v>
      </c>
      <c r="C16" s="18">
        <v>-2500</v>
      </c>
      <c r="D16" s="113">
        <f t="shared" si="0"/>
        <v>-2500</v>
      </c>
      <c r="E16" s="20" t="s">
        <v>4282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4296</v>
      </c>
      <c r="B17" s="18">
        <v>-190000</v>
      </c>
      <c r="C17" s="18">
        <v>0</v>
      </c>
      <c r="D17" s="113">
        <f t="shared" si="0"/>
        <v>-190000</v>
      </c>
      <c r="E17" s="20" t="s">
        <v>4297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4230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4290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4300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4301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4313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4317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/>
      <c r="E66" s="41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/>
      <c r="E67" s="41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 t="s">
        <v>25</v>
      </c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41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f>SUM(D33:D71)</f>
        <v>-49106586</v>
      </c>
      <c r="E72" s="96" t="s">
        <v>6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/>
      <c r="E73" s="41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4210</v>
      </c>
      <c r="B209" s="18">
        <v>-52440</v>
      </c>
      <c r="C209" s="18">
        <v>0</v>
      </c>
      <c r="D209" s="18">
        <f t="shared" si="18"/>
        <v>-52440</v>
      </c>
      <c r="E209" s="99" t="s">
        <v>4216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4217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4219</v>
      </c>
      <c r="B211" s="18">
        <v>-200000</v>
      </c>
      <c r="C211" s="18">
        <v>0</v>
      </c>
      <c r="D211" s="18">
        <f t="shared" si="18"/>
        <v>-200000</v>
      </c>
      <c r="E211" s="99" t="s">
        <v>4220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4221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4222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4222</v>
      </c>
      <c r="B214" s="18">
        <v>-30000</v>
      </c>
      <c r="C214" s="18">
        <v>0</v>
      </c>
      <c r="D214" s="18">
        <f t="shared" si="18"/>
        <v>-30000</v>
      </c>
      <c r="E214" s="99" t="s">
        <v>4223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4222</v>
      </c>
      <c r="B215" s="18">
        <v>-178000</v>
      </c>
      <c r="C215" s="18">
        <v>0</v>
      </c>
      <c r="D215" s="18">
        <f t="shared" si="18"/>
        <v>-178000</v>
      </c>
      <c r="E215" s="99" t="s">
        <v>4225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4227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4231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4236</v>
      </c>
      <c r="B219" s="18">
        <v>1548000</v>
      </c>
      <c r="C219" s="18">
        <v>0</v>
      </c>
      <c r="D219" s="18">
        <f t="shared" si="18"/>
        <v>1548000</v>
      </c>
      <c r="E219" s="99" t="s">
        <v>4266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4267</v>
      </c>
      <c r="B220" s="18">
        <v>-1400700</v>
      </c>
      <c r="C220" s="18">
        <v>0</v>
      </c>
      <c r="D220" s="18">
        <f t="shared" si="18"/>
        <v>-1400700</v>
      </c>
      <c r="E220" s="99" t="s">
        <v>4268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4267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4267</v>
      </c>
      <c r="B222" s="18">
        <v>-5000</v>
      </c>
      <c r="C222" s="18">
        <v>-2500</v>
      </c>
      <c r="D222" s="18">
        <f t="shared" si="18"/>
        <v>-2500</v>
      </c>
      <c r="E222" s="99" t="s">
        <v>4283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4296</v>
      </c>
      <c r="B223" s="18">
        <v>-190000</v>
      </c>
      <c r="C223" s="18">
        <v>0</v>
      </c>
      <c r="D223" s="18">
        <f t="shared" si="18"/>
        <v>-190000</v>
      </c>
      <c r="E223" s="99" t="s">
        <v>4297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4281</v>
      </c>
      <c r="B72" s="113">
        <v>-5000</v>
      </c>
      <c r="C72" s="99" t="s">
        <v>4282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76564.868605166295</v>
      </c>
      <c r="C2" s="86">
        <f t="shared" ref="C2:C20" si="0">$S2/(1+($C$1-$O2+$P2)/36500)^$N2</f>
        <v>79906.016338552508</v>
      </c>
      <c r="D2" s="86">
        <f>$S2/(1+($D$1-$O2+$P2)/36500)^$N2</f>
        <v>80333.81001617838</v>
      </c>
      <c r="E2" s="86">
        <f>$S2/(1+($E$1-$O2+$P2)/36500)^$N2</f>
        <v>80763.899881325866</v>
      </c>
      <c r="F2" s="86">
        <f>$S2/(1+($F$1-$O2+$P2)/36500)^$N2</f>
        <v>81196.298290508683</v>
      </c>
      <c r="G2" s="86">
        <f>$S2/(1+($G$1-$O2+$P2)/36500)^$N2</f>
        <v>81631.0176668848</v>
      </c>
      <c r="H2" s="86">
        <f>$S2/(1+($H$1-$O2+$P2)/36500)^$N2</f>
        <v>82068.070500658156</v>
      </c>
      <c r="I2" s="86">
        <f>$S2/(1+($I$1-$O2+$P2)/36500)^$N2</f>
        <v>82507.4693494042</v>
      </c>
      <c r="J2" s="86">
        <f>$S2/(1+($J$1-$O2+$P2)/36500)^$N2</f>
        <v>82949.226838457718</v>
      </c>
      <c r="K2" s="86">
        <f>$S2/(1+($K$1-$O2+$P2)/36500)^$N2</f>
        <v>83393.355661284935</v>
      </c>
      <c r="L2" s="86">
        <f t="shared" ref="L2:L36" si="1">$S2/(1+($AC$5-$O2+$P2)/36500)^$N2</f>
        <v>80763.899881325866</v>
      </c>
      <c r="M2" s="148" t="s">
        <v>993</v>
      </c>
      <c r="N2" s="148">
        <f>601-$AD$19</f>
        <v>390</v>
      </c>
      <c r="O2" s="148">
        <v>0</v>
      </c>
      <c r="P2" s="148">
        <v>0</v>
      </c>
      <c r="Q2" s="148">
        <v>0</v>
      </c>
      <c r="R2" s="148">
        <f t="shared" ref="R2:R36" si="2">N2/30.5</f>
        <v>12.78688524590164</v>
      </c>
      <c r="S2" s="86">
        <v>100000</v>
      </c>
      <c r="T2" s="86">
        <v>73200</v>
      </c>
      <c r="U2" s="86">
        <f t="shared" ref="U2:U36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4248</v>
      </c>
      <c r="B3" s="192">
        <f>$S3/(1+($B$1-$O3+$P3)/36500)^$N3</f>
        <v>95909.368367676478</v>
      </c>
      <c r="C3" s="192">
        <f t="shared" si="0"/>
        <v>96552.257260133745</v>
      </c>
      <c r="D3" s="192">
        <f t="shared" ref="D3:D36" si="5">$S3/(1+($D$1-$O3+$P3)/36500)^$N3</f>
        <v>96632.925753245043</v>
      </c>
      <c r="E3" s="192">
        <f t="shared" ref="E3:E36" si="6">$S3/(1+($E$1-$O3+$P3)/36500)^$N3</f>
        <v>96713.662749934083</v>
      </c>
      <c r="F3" s="192">
        <f t="shared" ref="F3:F36" si="7">$S3/(1+($F$1-$O3+$P3)/36500)^$N3</f>
        <v>96794.468309314921</v>
      </c>
      <c r="G3" s="192">
        <f t="shared" ref="G3:G36" si="8">$S3/(1+($G$1-$O3+$P3)/36500)^$N3</f>
        <v>96875.342490549549</v>
      </c>
      <c r="H3" s="192">
        <f t="shared" ref="H3:H36" si="9">$S3/(1+($H$1-$O3+$P3)/36500)^$N3</f>
        <v>96956.285352855746</v>
      </c>
      <c r="I3" s="192">
        <f t="shared" ref="I3:I36" si="10">$S3/(1+($I$1-$O3+$P3)/36500)^$N3</f>
        <v>97037.296955500147</v>
      </c>
      <c r="J3" s="192">
        <f t="shared" ref="J3:J36" si="11">$S3/(1+($J$1-$O3+$P3)/36500)^$N3</f>
        <v>97118.377357802543</v>
      </c>
      <c r="K3" s="192">
        <f t="shared" ref="K3:K36" si="12">$S3/(1+($K$1-$O3+$P3)/36500)^$N3</f>
        <v>97199.526619137177</v>
      </c>
      <c r="L3" s="192">
        <f t="shared" si="1"/>
        <v>96713.662749934083</v>
      </c>
      <c r="M3" s="191" t="s">
        <v>4257</v>
      </c>
      <c r="N3" s="191">
        <f>272-$AD$19</f>
        <v>61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6" si="14">$S4/(1+($B$1-$O4+$P4)/36500)^$N4</f>
        <v>78046.894259959052</v>
      </c>
      <c r="C4" s="88">
        <f t="shared" si="0"/>
        <v>81203.31771116404</v>
      </c>
      <c r="D4" s="88">
        <f t="shared" si="5"/>
        <v>81606.76732642889</v>
      </c>
      <c r="E4" s="88">
        <f t="shared" si="6"/>
        <v>82012.22700089874</v>
      </c>
      <c r="F4" s="88">
        <f t="shared" si="7"/>
        <v>82419.706776788429</v>
      </c>
      <c r="G4" s="88">
        <f t="shared" si="8"/>
        <v>82829.216746602673</v>
      </c>
      <c r="H4" s="88">
        <f t="shared" si="9"/>
        <v>83240.767053427335</v>
      </c>
      <c r="I4" s="88">
        <f t="shared" si="10"/>
        <v>83654.367891148824</v>
      </c>
      <c r="J4" s="88">
        <f t="shared" si="11"/>
        <v>84070.029504731268</v>
      </c>
      <c r="K4" s="88">
        <f t="shared" si="12"/>
        <v>84487.762190478257</v>
      </c>
      <c r="L4" s="88">
        <f t="shared" si="1"/>
        <v>82012.22700089874</v>
      </c>
      <c r="M4" s="87" t="s">
        <v>994</v>
      </c>
      <c r="N4" s="87">
        <f>573-$AD$19</f>
        <v>362</v>
      </c>
      <c r="O4" s="87">
        <v>0</v>
      </c>
      <c r="P4" s="87">
        <v>0</v>
      </c>
      <c r="Q4" s="87">
        <v>0</v>
      </c>
      <c r="R4" s="87">
        <f t="shared" si="2"/>
        <v>11.868852459016393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94994.396662811938</v>
      </c>
      <c r="C5" s="57">
        <f t="shared" si="0"/>
        <v>95777.894260929388</v>
      </c>
      <c r="D5" s="57">
        <f t="shared" si="5"/>
        <v>95876.290806848498</v>
      </c>
      <c r="E5" s="57">
        <f t="shared" si="6"/>
        <v>95974.789788787253</v>
      </c>
      <c r="F5" s="57">
        <f t="shared" si="7"/>
        <v>96073.3913147938</v>
      </c>
      <c r="G5" s="57">
        <f t="shared" si="8"/>
        <v>96172.095493027155</v>
      </c>
      <c r="H5" s="57">
        <f t="shared" si="9"/>
        <v>96270.902431766575</v>
      </c>
      <c r="I5" s="57">
        <f t="shared" si="10"/>
        <v>96369.812239403167</v>
      </c>
      <c r="J5" s="57">
        <f t="shared" si="11"/>
        <v>96468.825024445687</v>
      </c>
      <c r="K5" s="57">
        <f t="shared" si="12"/>
        <v>96567.940895521358</v>
      </c>
      <c r="L5" s="57">
        <f t="shared" si="1"/>
        <v>95974.789788787253</v>
      </c>
      <c r="M5" s="12" t="s">
        <v>996</v>
      </c>
      <c r="N5" s="12">
        <f>286-$AD$19</f>
        <v>75</v>
      </c>
      <c r="O5" s="12">
        <v>0</v>
      </c>
      <c r="P5" s="12">
        <v>0</v>
      </c>
      <c r="Q5" s="12">
        <v>0</v>
      </c>
      <c r="R5" s="12">
        <f t="shared" si="2"/>
        <v>2.459016393442623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83807.151800026651</v>
      </c>
      <c r="C6" s="86">
        <f t="shared" si="0"/>
        <v>86208.994338214325</v>
      </c>
      <c r="D6" s="86">
        <f t="shared" si="5"/>
        <v>86514.043505002293</v>
      </c>
      <c r="E6" s="86">
        <f t="shared" si="6"/>
        <v>86820.176282075714</v>
      </c>
      <c r="F6" s="86">
        <f t="shared" si="7"/>
        <v>87127.396533608946</v>
      </c>
      <c r="G6" s="86">
        <f t="shared" si="8"/>
        <v>87435.708137594615</v>
      </c>
      <c r="H6" s="86">
        <f t="shared" si="9"/>
        <v>87745.114985922512</v>
      </c>
      <c r="I6" s="86">
        <f t="shared" si="10"/>
        <v>88055.620984403344</v>
      </c>
      <c r="J6" s="86">
        <f t="shared" si="11"/>
        <v>88367.230052835264</v>
      </c>
      <c r="K6" s="86">
        <f t="shared" si="12"/>
        <v>88679.946125057992</v>
      </c>
      <c r="L6" s="86">
        <f t="shared" si="1"/>
        <v>86820.176282075714</v>
      </c>
      <c r="M6" s="148" t="s">
        <v>995</v>
      </c>
      <c r="N6" s="148">
        <f>469-$AD$19</f>
        <v>258</v>
      </c>
      <c r="O6" s="148">
        <v>0</v>
      </c>
      <c r="P6" s="148">
        <v>0</v>
      </c>
      <c r="Q6" s="148">
        <v>0</v>
      </c>
      <c r="R6" s="148">
        <f t="shared" si="2"/>
        <v>8.4590163934426226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83807.151800026651</v>
      </c>
      <c r="C7" s="192">
        <f t="shared" si="0"/>
        <v>86208.994338214325</v>
      </c>
      <c r="D7" s="192">
        <f t="shared" si="5"/>
        <v>86514.043505002293</v>
      </c>
      <c r="E7" s="192">
        <f t="shared" si="6"/>
        <v>86820.176282075714</v>
      </c>
      <c r="F7" s="192">
        <f t="shared" si="7"/>
        <v>87127.396533608946</v>
      </c>
      <c r="G7" s="192">
        <f t="shared" si="8"/>
        <v>87435.708137594615</v>
      </c>
      <c r="H7" s="192">
        <f t="shared" si="9"/>
        <v>87745.114985922512</v>
      </c>
      <c r="I7" s="192">
        <f t="shared" si="10"/>
        <v>88055.620984403344</v>
      </c>
      <c r="J7" s="192">
        <f t="shared" si="11"/>
        <v>88367.230052835264</v>
      </c>
      <c r="K7" s="192">
        <f t="shared" si="12"/>
        <v>88679.946125057992</v>
      </c>
      <c r="L7" s="192">
        <f t="shared" si="1"/>
        <v>86820.176282075714</v>
      </c>
      <c r="M7" s="191" t="s">
        <v>995</v>
      </c>
      <c r="N7" s="191">
        <f>469-$AD$19</f>
        <v>258</v>
      </c>
      <c r="O7" s="191">
        <v>0</v>
      </c>
      <c r="P7" s="191">
        <v>0</v>
      </c>
      <c r="Q7" s="191">
        <v>0</v>
      </c>
      <c r="R7" s="191">
        <f t="shared" si="2"/>
        <v>8.4590163934426226</v>
      </c>
      <c r="S7" s="192">
        <v>100000</v>
      </c>
      <c r="T7" s="192">
        <v>77700</v>
      </c>
      <c r="U7" s="192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75471.846987297366</v>
      </c>
      <c r="C8" s="88">
        <f t="shared" si="0"/>
        <v>78946.659710079781</v>
      </c>
      <c r="D8" s="88">
        <f t="shared" si="5"/>
        <v>79392.139847478742</v>
      </c>
      <c r="E8" s="88">
        <f t="shared" si="6"/>
        <v>79840.13989054675</v>
      </c>
      <c r="F8" s="88">
        <f t="shared" si="7"/>
        <v>80290.674128201281</v>
      </c>
      <c r="G8" s="88">
        <f t="shared" si="8"/>
        <v>80743.756930559714</v>
      </c>
      <c r="H8" s="88">
        <f t="shared" si="9"/>
        <v>81199.402749445057</v>
      </c>
      <c r="I8" s="88">
        <f t="shared" si="10"/>
        <v>81657.626118812812</v>
      </c>
      <c r="J8" s="88">
        <f t="shared" si="11"/>
        <v>82118.441655243427</v>
      </c>
      <c r="K8" s="88">
        <f t="shared" si="12"/>
        <v>82581.864058418811</v>
      </c>
      <c r="L8" s="88">
        <f t="shared" si="1"/>
        <v>79840.13989054675</v>
      </c>
      <c r="M8" s="87" t="s">
        <v>999</v>
      </c>
      <c r="N8" s="87">
        <f>622-$AD$19</f>
        <v>411</v>
      </c>
      <c r="O8" s="87">
        <v>0</v>
      </c>
      <c r="P8" s="87">
        <v>0</v>
      </c>
      <c r="Q8" s="87">
        <v>0</v>
      </c>
      <c r="R8" s="87">
        <f t="shared" si="2"/>
        <v>13.475409836065573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4249</v>
      </c>
      <c r="B9" s="86">
        <f t="shared" si="14"/>
        <v>96766.874261036995</v>
      </c>
      <c r="C9" s="86">
        <f t="shared" si="0"/>
        <v>97276.913434634655</v>
      </c>
      <c r="D9" s="86">
        <f t="shared" si="5"/>
        <v>97340.861004421109</v>
      </c>
      <c r="E9" s="86">
        <f t="shared" si="6"/>
        <v>97404.851488216722</v>
      </c>
      <c r="F9" s="86">
        <f t="shared" si="7"/>
        <v>97468.884915409857</v>
      </c>
      <c r="G9" s="86">
        <f t="shared" si="8"/>
        <v>97532.96131540637</v>
      </c>
      <c r="H9" s="86">
        <f t="shared" si="9"/>
        <v>97597.08071763569</v>
      </c>
      <c r="I9" s="86">
        <f t="shared" si="10"/>
        <v>97661.243151545437</v>
      </c>
      <c r="J9" s="86">
        <f t="shared" si="11"/>
        <v>97725.448646604709</v>
      </c>
      <c r="K9" s="86">
        <f t="shared" si="12"/>
        <v>97789.697232305116</v>
      </c>
      <c r="L9" s="86">
        <f t="shared" si="1"/>
        <v>97404.851488216722</v>
      </c>
      <c r="M9" s="148" t="s">
        <v>4258</v>
      </c>
      <c r="N9" s="148">
        <f>259-$AD$19</f>
        <v>48</v>
      </c>
      <c r="O9" s="148">
        <v>0</v>
      </c>
      <c r="P9" s="148">
        <v>0</v>
      </c>
      <c r="Q9" s="148">
        <v>0</v>
      </c>
      <c r="R9" s="148">
        <f t="shared" si="2"/>
        <v>1.5737704918032787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72285.516573966495</v>
      </c>
      <c r="C10" s="192">
        <f t="shared" si="0"/>
        <v>76137.146911041447</v>
      </c>
      <c r="D10" s="192">
        <f t="shared" si="5"/>
        <v>76632.842652009145</v>
      </c>
      <c r="E10" s="192">
        <f t="shared" si="6"/>
        <v>77131.772504603025</v>
      </c>
      <c r="F10" s="192">
        <f t="shared" si="7"/>
        <v>77633.957614147992</v>
      </c>
      <c r="G10" s="192">
        <f t="shared" si="8"/>
        <v>78139.419264490032</v>
      </c>
      <c r="H10" s="192">
        <f t="shared" si="9"/>
        <v>78648.178878953666</v>
      </c>
      <c r="I10" s="192">
        <f t="shared" si="10"/>
        <v>79160.258021214759</v>
      </c>
      <c r="J10" s="192">
        <f t="shared" si="11"/>
        <v>79675.678396249117</v>
      </c>
      <c r="K10" s="192">
        <f t="shared" si="12"/>
        <v>80194.461851266824</v>
      </c>
      <c r="L10" s="192">
        <f t="shared" si="1"/>
        <v>77131.772504603025</v>
      </c>
      <c r="M10" s="191" t="s">
        <v>1000</v>
      </c>
      <c r="N10" s="191">
        <f>685-$AD$19</f>
        <v>474</v>
      </c>
      <c r="O10" s="191">
        <v>0</v>
      </c>
      <c r="P10" s="191">
        <v>0</v>
      </c>
      <c r="Q10" s="191">
        <v>0</v>
      </c>
      <c r="R10" s="191">
        <f t="shared" si="2"/>
        <v>15.540983606557377</v>
      </c>
      <c r="S10" s="192">
        <v>100000</v>
      </c>
      <c r="T10" s="192">
        <v>70000</v>
      </c>
      <c r="U10" s="192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73684.709075491104</v>
      </c>
      <c r="C11" s="88">
        <f t="shared" si="0"/>
        <v>77373.259405699311</v>
      </c>
      <c r="D11" s="88">
        <f t="shared" si="5"/>
        <v>77847.154997452541</v>
      </c>
      <c r="E11" s="88">
        <f t="shared" si="6"/>
        <v>78323.959651827245</v>
      </c>
      <c r="F11" s="88">
        <f t="shared" si="7"/>
        <v>78803.691266645459</v>
      </c>
      <c r="G11" s="88">
        <f t="shared" si="8"/>
        <v>79286.367850068913</v>
      </c>
      <c r="H11" s="88">
        <f t="shared" si="9"/>
        <v>79772.00752132661</v>
      </c>
      <c r="I11" s="88">
        <f t="shared" si="10"/>
        <v>80260.628511360163</v>
      </c>
      <c r="J11" s="88">
        <f t="shared" si="11"/>
        <v>80752.249163540051</v>
      </c>
      <c r="K11" s="88">
        <f t="shared" si="12"/>
        <v>81246.88793436678</v>
      </c>
      <c r="L11" s="88">
        <f t="shared" si="1"/>
        <v>78323.959651827245</v>
      </c>
      <c r="M11" s="87" t="s">
        <v>1001</v>
      </c>
      <c r="N11" s="87">
        <f>657-$AD$19</f>
        <v>446</v>
      </c>
      <c r="O11" s="87">
        <v>0</v>
      </c>
      <c r="P11" s="87">
        <v>0</v>
      </c>
      <c r="Q11" s="87">
        <v>0</v>
      </c>
      <c r="R11" s="87">
        <f t="shared" si="2"/>
        <v>14.622950819672131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73684.709075491104</v>
      </c>
      <c r="C12" s="86">
        <f t="shared" si="0"/>
        <v>77373.259405699311</v>
      </c>
      <c r="D12" s="86">
        <f t="shared" si="5"/>
        <v>77847.154997452541</v>
      </c>
      <c r="E12" s="86">
        <f t="shared" si="6"/>
        <v>78323.959651827245</v>
      </c>
      <c r="F12" s="86">
        <f t="shared" si="7"/>
        <v>78803.691266645459</v>
      </c>
      <c r="G12" s="86">
        <f t="shared" si="8"/>
        <v>79286.367850068913</v>
      </c>
      <c r="H12" s="86">
        <f t="shared" si="9"/>
        <v>79772.00752132661</v>
      </c>
      <c r="I12" s="86">
        <f t="shared" si="10"/>
        <v>80260.628511360163</v>
      </c>
      <c r="J12" s="86">
        <f t="shared" si="11"/>
        <v>80752.249163540051</v>
      </c>
      <c r="K12" s="86">
        <f t="shared" si="12"/>
        <v>81246.88793436678</v>
      </c>
      <c r="L12" s="86">
        <f t="shared" si="1"/>
        <v>78323.959651827245</v>
      </c>
      <c r="M12" s="148" t="s">
        <v>1001</v>
      </c>
      <c r="N12" s="148">
        <f>657-$AD$19</f>
        <v>446</v>
      </c>
      <c r="O12" s="148">
        <v>0</v>
      </c>
      <c r="P12" s="148">
        <v>0</v>
      </c>
      <c r="Q12" s="148">
        <v>0</v>
      </c>
      <c r="R12" s="148">
        <f t="shared" si="2"/>
        <v>14.622950819672131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76564.868605166295</v>
      </c>
      <c r="C13" s="192">
        <f t="shared" si="0"/>
        <v>79906.016338552508</v>
      </c>
      <c r="D13" s="192">
        <f t="shared" si="5"/>
        <v>80333.81001617838</v>
      </c>
      <c r="E13" s="192">
        <f t="shared" si="6"/>
        <v>80763.899881325866</v>
      </c>
      <c r="F13" s="192">
        <f t="shared" si="7"/>
        <v>81196.298290508683</v>
      </c>
      <c r="G13" s="192">
        <f t="shared" si="8"/>
        <v>81631.0176668848</v>
      </c>
      <c r="H13" s="192">
        <f t="shared" si="9"/>
        <v>82068.070500658156</v>
      </c>
      <c r="I13" s="192">
        <f t="shared" si="10"/>
        <v>82507.4693494042</v>
      </c>
      <c r="J13" s="192">
        <f t="shared" si="11"/>
        <v>82949.226838457718</v>
      </c>
      <c r="K13" s="192">
        <f t="shared" si="12"/>
        <v>83393.355661284935</v>
      </c>
      <c r="L13" s="192">
        <f t="shared" si="1"/>
        <v>80763.899881325866</v>
      </c>
      <c r="M13" s="191" t="s">
        <v>993</v>
      </c>
      <c r="N13" s="191">
        <f>601-$AD$19</f>
        <v>390</v>
      </c>
      <c r="O13" s="191">
        <v>0</v>
      </c>
      <c r="P13" s="191">
        <v>0</v>
      </c>
      <c r="Q13" s="191">
        <v>0</v>
      </c>
      <c r="R13" s="191">
        <f t="shared" si="2"/>
        <v>12.78688524590164</v>
      </c>
      <c r="S13" s="192">
        <v>100000</v>
      </c>
      <c r="T13" s="192">
        <v>73100</v>
      </c>
      <c r="U13" s="192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81375.673292685882</v>
      </c>
      <c r="C14" s="88">
        <f t="shared" si="0"/>
        <v>84102.971815960613</v>
      </c>
      <c r="D14" s="88">
        <f t="shared" si="5"/>
        <v>84450.270640479313</v>
      </c>
      <c r="E14" s="88">
        <f t="shared" si="6"/>
        <v>84799.008401689978</v>
      </c>
      <c r="F14" s="88">
        <f t="shared" si="7"/>
        <v>85149.191081260244</v>
      </c>
      <c r="G14" s="88">
        <f t="shared" si="8"/>
        <v>85500.824685789252</v>
      </c>
      <c r="H14" s="88">
        <f t="shared" si="9"/>
        <v>85853.915246945427</v>
      </c>
      <c r="I14" s="88">
        <f t="shared" si="10"/>
        <v>86208.468821541392</v>
      </c>
      <c r="J14" s="88">
        <f t="shared" si="11"/>
        <v>86564.491491657973</v>
      </c>
      <c r="K14" s="88">
        <f t="shared" si="12"/>
        <v>86921.989364754598</v>
      </c>
      <c r="L14" s="88">
        <f t="shared" si="1"/>
        <v>84799.008401689978</v>
      </c>
      <c r="M14" s="87" t="s">
        <v>3857</v>
      </c>
      <c r="N14" s="87">
        <f>512-$AD$19</f>
        <v>301</v>
      </c>
      <c r="O14" s="87">
        <v>0</v>
      </c>
      <c r="P14" s="87">
        <v>0</v>
      </c>
      <c r="Q14" s="87">
        <v>0</v>
      </c>
      <c r="R14" s="87">
        <f t="shared" si="2"/>
        <v>9.8688524590163933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63164.249369610545</v>
      </c>
      <c r="C15" s="57">
        <f t="shared" si="0"/>
        <v>67980.874328993144</v>
      </c>
      <c r="D15" s="57">
        <f t="shared" si="5"/>
        <v>68608.261950355736</v>
      </c>
      <c r="E15" s="57">
        <f t="shared" si="6"/>
        <v>69241.448368195095</v>
      </c>
      <c r="F15" s="57">
        <f t="shared" si="7"/>
        <v>69880.487259934976</v>
      </c>
      <c r="G15" s="57">
        <f t="shared" si="8"/>
        <v>70525.432800586845</v>
      </c>
      <c r="H15" s="57">
        <f t="shared" si="9"/>
        <v>71176.339667430671</v>
      </c>
      <c r="I15" s="57">
        <f t="shared" si="10"/>
        <v>71833.263044623309</v>
      </c>
      <c r="J15" s="57">
        <f t="shared" si="11"/>
        <v>72496.258627939373</v>
      </c>
      <c r="K15" s="57">
        <f t="shared" si="12"/>
        <v>73165.38262953001</v>
      </c>
      <c r="L15" s="57">
        <f t="shared" si="1"/>
        <v>69241.448368195095</v>
      </c>
      <c r="M15" s="12" t="s">
        <v>3911</v>
      </c>
      <c r="N15" s="12">
        <f>882-$AD$19</f>
        <v>671</v>
      </c>
      <c r="O15" s="12">
        <v>0</v>
      </c>
      <c r="P15" s="12">
        <v>0</v>
      </c>
      <c r="Q15" s="12">
        <v>0</v>
      </c>
      <c r="R15" s="12">
        <f t="shared" si="2"/>
        <v>22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61964.828958086015</v>
      </c>
      <c r="C16" s="86">
        <f t="shared" si="0"/>
        <v>66894.814250856565</v>
      </c>
      <c r="D16" s="86">
        <f t="shared" si="5"/>
        <v>67538.06408007443</v>
      </c>
      <c r="E16" s="86">
        <f t="shared" si="6"/>
        <v>68187.508230761974</v>
      </c>
      <c r="F16" s="86">
        <f t="shared" si="7"/>
        <v>68843.206438605397</v>
      </c>
      <c r="G16" s="86">
        <f t="shared" si="8"/>
        <v>69505.219016157542</v>
      </c>
      <c r="H16" s="86">
        <f t="shared" si="9"/>
        <v>70173.606858479601</v>
      </c>
      <c r="I16" s="86">
        <f t="shared" si="10"/>
        <v>70848.43144871862</v>
      </c>
      <c r="J16" s="86">
        <f t="shared" si="11"/>
        <v>71529.754863830691</v>
      </c>
      <c r="K16" s="86">
        <f t="shared" si="12"/>
        <v>72217.639780333004</v>
      </c>
      <c r="L16" s="86">
        <f t="shared" si="1"/>
        <v>68187.508230761974</v>
      </c>
      <c r="M16" s="148" t="s">
        <v>4235</v>
      </c>
      <c r="N16" s="148">
        <f>910-$AD$19</f>
        <v>699</v>
      </c>
      <c r="O16" s="148">
        <v>0</v>
      </c>
      <c r="P16" s="148">
        <v>0</v>
      </c>
      <c r="Q16" s="148">
        <v>0</v>
      </c>
      <c r="R16" s="148">
        <f t="shared" si="2"/>
        <v>22.918032786885245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4250</v>
      </c>
      <c r="B17" s="192">
        <f t="shared" si="14"/>
        <v>96304.191984644247</v>
      </c>
      <c r="C17" s="192">
        <f t="shared" si="0"/>
        <v>96886.040720061748</v>
      </c>
      <c r="D17" s="192">
        <f t="shared" si="5"/>
        <v>96959.023052050848</v>
      </c>
      <c r="E17" s="192">
        <f t="shared" si="6"/>
        <v>97032.061360514534</v>
      </c>
      <c r="F17" s="192">
        <f t="shared" si="7"/>
        <v>97105.155689154795</v>
      </c>
      <c r="G17" s="192">
        <f t="shared" si="8"/>
        <v>97178.306081705086</v>
      </c>
      <c r="H17" s="192">
        <f t="shared" si="9"/>
        <v>97251.512581936957</v>
      </c>
      <c r="I17" s="192">
        <f t="shared" si="10"/>
        <v>97324.775233654</v>
      </c>
      <c r="J17" s="192">
        <f t="shared" si="11"/>
        <v>97398.094080695781</v>
      </c>
      <c r="K17" s="192">
        <f t="shared" si="12"/>
        <v>97471.469166938827</v>
      </c>
      <c r="L17" s="192">
        <f t="shared" si="1"/>
        <v>97032.061360514534</v>
      </c>
      <c r="M17" s="191" t="s">
        <v>4259</v>
      </c>
      <c r="N17" s="191">
        <f>266-$AD$19</f>
        <v>55</v>
      </c>
      <c r="O17" s="191">
        <v>0</v>
      </c>
      <c r="P17" s="191">
        <v>0</v>
      </c>
      <c r="Q17" s="191">
        <v>0</v>
      </c>
      <c r="R17" s="191">
        <f t="shared" si="2"/>
        <v>1.8032786885245902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4251</v>
      </c>
      <c r="B18" s="88">
        <f t="shared" si="14"/>
        <v>94088.153753006176</v>
      </c>
      <c r="C18" s="88">
        <f t="shared" si="0"/>
        <v>95009.741764426435</v>
      </c>
      <c r="D18" s="88">
        <f t="shared" si="5"/>
        <v>95125.580305330805</v>
      </c>
      <c r="E18" s="88">
        <f t="shared" si="6"/>
        <v>95241.561668681345</v>
      </c>
      <c r="F18" s="88">
        <f t="shared" si="7"/>
        <v>95357.686032531768</v>
      </c>
      <c r="G18" s="88">
        <f t="shared" si="8"/>
        <v>95473.95357515465</v>
      </c>
      <c r="H18" s="88">
        <f t="shared" si="9"/>
        <v>95590.364475052906</v>
      </c>
      <c r="I18" s="88">
        <f t="shared" si="10"/>
        <v>95706.91891095</v>
      </c>
      <c r="J18" s="88">
        <f t="shared" si="11"/>
        <v>95823.617061796467</v>
      </c>
      <c r="K18" s="88">
        <f t="shared" si="12"/>
        <v>95940.459106771814</v>
      </c>
      <c r="L18" s="88">
        <f t="shared" si="1"/>
        <v>95241.561668681345</v>
      </c>
      <c r="M18" s="87" t="s">
        <v>4260</v>
      </c>
      <c r="N18" s="87">
        <f>300-$AD$19</f>
        <v>89</v>
      </c>
      <c r="O18" s="87">
        <v>0</v>
      </c>
      <c r="P18" s="87">
        <v>0</v>
      </c>
      <c r="Q18" s="87">
        <v>0</v>
      </c>
      <c r="R18" s="87">
        <f t="shared" si="2"/>
        <v>2.918032786885246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4252</v>
      </c>
      <c r="B19" s="57">
        <f t="shared" si="14"/>
        <v>57155.33275938221</v>
      </c>
      <c r="C19" s="57">
        <f t="shared" si="0"/>
        <v>62505.250478280293</v>
      </c>
      <c r="D19" s="57">
        <f t="shared" si="5"/>
        <v>63208.322831409758</v>
      </c>
      <c r="E19" s="57">
        <f t="shared" si="6"/>
        <v>63919.313280514987</v>
      </c>
      <c r="F19" s="57">
        <f t="shared" si="7"/>
        <v>64638.311110524184</v>
      </c>
      <c r="G19" s="57">
        <f t="shared" si="8"/>
        <v>65365.406614356507</v>
      </c>
      <c r="H19" s="57">
        <f t="shared" si="9"/>
        <v>66100.691104385027</v>
      </c>
      <c r="I19" s="57">
        <f t="shared" si="10"/>
        <v>66844.256923898851</v>
      </c>
      <c r="J19" s="57">
        <f t="shared" si="11"/>
        <v>67596.197458795825</v>
      </c>
      <c r="K19" s="57">
        <f t="shared" si="12"/>
        <v>68356.607149378498</v>
      </c>
      <c r="L19" s="57">
        <f t="shared" si="1"/>
        <v>63919.313280514987</v>
      </c>
      <c r="M19" s="12" t="s">
        <v>4261</v>
      </c>
      <c r="N19" s="12">
        <f>1028-$AD$19</f>
        <v>817</v>
      </c>
      <c r="O19" s="12">
        <v>0</v>
      </c>
      <c r="P19" s="12">
        <v>0</v>
      </c>
      <c r="Q19" s="12">
        <v>0</v>
      </c>
      <c r="R19" s="12">
        <f t="shared" si="2"/>
        <v>26.78688524590164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211</v>
      </c>
      <c r="AF19" s="26"/>
    </row>
    <row r="20" spans="1:32" ht="22.5" customHeight="1" x14ac:dyDescent="0.25">
      <c r="A20" s="148" t="s">
        <v>4253</v>
      </c>
      <c r="B20" s="86">
        <f t="shared" si="14"/>
        <v>81375.673292685882</v>
      </c>
      <c r="C20" s="86">
        <f t="shared" si="0"/>
        <v>84102.971815960613</v>
      </c>
      <c r="D20" s="86">
        <f t="shared" si="5"/>
        <v>84450.270640479313</v>
      </c>
      <c r="E20" s="86">
        <f t="shared" si="6"/>
        <v>84799.008401689978</v>
      </c>
      <c r="F20" s="86">
        <f t="shared" si="7"/>
        <v>85149.191081260244</v>
      </c>
      <c r="G20" s="86">
        <f t="shared" si="8"/>
        <v>85500.824685789252</v>
      </c>
      <c r="H20" s="86">
        <f t="shared" si="9"/>
        <v>85853.915246945427</v>
      </c>
      <c r="I20" s="86">
        <f t="shared" si="10"/>
        <v>86208.468821541392</v>
      </c>
      <c r="J20" s="86">
        <f t="shared" si="11"/>
        <v>86564.491491657973</v>
      </c>
      <c r="K20" s="86">
        <f t="shared" si="12"/>
        <v>86921.989364754598</v>
      </c>
      <c r="L20" s="86">
        <f t="shared" si="1"/>
        <v>84799.008401689978</v>
      </c>
      <c r="M20" s="148" t="s">
        <v>3857</v>
      </c>
      <c r="N20" s="148">
        <f>512-$AD$19</f>
        <v>301</v>
      </c>
      <c r="O20" s="148">
        <v>0</v>
      </c>
      <c r="P20" s="148">
        <v>0</v>
      </c>
      <c r="Q20" s="148">
        <v>0</v>
      </c>
      <c r="R20" s="148">
        <f t="shared" si="2"/>
        <v>9.8688524590163933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4254</v>
      </c>
      <c r="B21" s="192">
        <f t="shared" si="14"/>
        <v>64740.538108716049</v>
      </c>
      <c r="C21" s="192">
        <f>$S21/(1+($C$1-$O21+$P21)/36500)^$N21</f>
        <v>69403.186292725688</v>
      </c>
      <c r="D21" s="192">
        <f t="shared" si="5"/>
        <v>70009.186299772744</v>
      </c>
      <c r="E21" s="192">
        <f t="shared" si="6"/>
        <v>70620.486054657798</v>
      </c>
      <c r="F21" s="192">
        <f t="shared" si="7"/>
        <v>71237.131979632104</v>
      </c>
      <c r="G21" s="192">
        <f t="shared" si="8"/>
        <v>71859.170904189406</v>
      </c>
      <c r="H21" s="192">
        <f t="shared" si="9"/>
        <v>72486.650068703122</v>
      </c>
      <c r="I21" s="192">
        <f t="shared" si="10"/>
        <v>73119.617127983962</v>
      </c>
      <c r="J21" s="192">
        <f t="shared" si="11"/>
        <v>73758.120154955061</v>
      </c>
      <c r="K21" s="192">
        <f t="shared" si="12"/>
        <v>74402.207644334325</v>
      </c>
      <c r="L21" s="192">
        <f t="shared" si="1"/>
        <v>70620.486054657798</v>
      </c>
      <c r="M21" s="191" t="s">
        <v>4262</v>
      </c>
      <c r="N21" s="191">
        <f>846-$AD$19</f>
        <v>635</v>
      </c>
      <c r="O21" s="191">
        <v>0</v>
      </c>
      <c r="P21" s="191">
        <v>0</v>
      </c>
      <c r="Q21" s="191">
        <v>0</v>
      </c>
      <c r="R21" s="191">
        <f t="shared" si="2"/>
        <v>20.819672131147541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87" t="s">
        <v>4255</v>
      </c>
      <c r="B22" s="88">
        <f t="shared" si="14"/>
        <v>82723.945246139847</v>
      </c>
      <c r="C22" s="88">
        <f t="shared" ref="C22:C36" si="16">$S22/(1+($C$1-$O22+$P22)/36500)^$N22</f>
        <v>85272.000352622796</v>
      </c>
      <c r="D22" s="88">
        <f t="shared" si="5"/>
        <v>85595.996837479135</v>
      </c>
      <c r="E22" s="88">
        <f t="shared" si="6"/>
        <v>85921.228829097541</v>
      </c>
      <c r="F22" s="88">
        <f t="shared" si="7"/>
        <v>86247.701055897502</v>
      </c>
      <c r="G22" s="88">
        <f t="shared" si="8"/>
        <v>86575.418264444161</v>
      </c>
      <c r="H22" s="88">
        <f t="shared" si="9"/>
        <v>86904.385219549484</v>
      </c>
      <c r="I22" s="88">
        <f t="shared" si="10"/>
        <v>87234.60670431472</v>
      </c>
      <c r="J22" s="88">
        <f t="shared" si="11"/>
        <v>87566.087520218294</v>
      </c>
      <c r="K22" s="88">
        <f t="shared" si="12"/>
        <v>87898.832487190914</v>
      </c>
      <c r="L22" s="88">
        <f t="shared" si="1"/>
        <v>85921.228829097541</v>
      </c>
      <c r="M22" s="87" t="s">
        <v>4263</v>
      </c>
      <c r="N22" s="87">
        <f>488-$AD$19</f>
        <v>277</v>
      </c>
      <c r="O22" s="87">
        <v>0</v>
      </c>
      <c r="P22" s="87">
        <v>0</v>
      </c>
      <c r="Q22" s="87">
        <v>0</v>
      </c>
      <c r="R22" s="87">
        <f t="shared" si="2"/>
        <v>9.0819672131147549</v>
      </c>
      <c r="S22" s="88">
        <v>100000</v>
      </c>
      <c r="T22" s="88"/>
      <c r="U22" s="88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148" t="s">
        <v>4256</v>
      </c>
      <c r="B23" s="86">
        <f t="shared" si="14"/>
        <v>80986.58268652983</v>
      </c>
      <c r="C23" s="86">
        <f t="shared" si="16"/>
        <v>83765.033905138189</v>
      </c>
      <c r="D23" s="86">
        <f t="shared" si="5"/>
        <v>84118.998468795879</v>
      </c>
      <c r="E23" s="86">
        <f t="shared" si="6"/>
        <v>84474.46365173049</v>
      </c>
      <c r="F23" s="86">
        <f t="shared" si="7"/>
        <v>84831.435836444332</v>
      </c>
      <c r="G23" s="86">
        <f t="shared" si="8"/>
        <v>85189.921432656905</v>
      </c>
      <c r="H23" s="86">
        <f t="shared" si="9"/>
        <v>85549.926877455538</v>
      </c>
      <c r="I23" s="86">
        <f t="shared" si="10"/>
        <v>85911.45863538202</v>
      </c>
      <c r="J23" s="86">
        <f t="shared" si="11"/>
        <v>86274.523198569324</v>
      </c>
      <c r="K23" s="86">
        <f t="shared" si="12"/>
        <v>86639.127086864275</v>
      </c>
      <c r="L23" s="86">
        <f t="shared" si="1"/>
        <v>84474.46365173049</v>
      </c>
      <c r="M23" s="148" t="s">
        <v>4264</v>
      </c>
      <c r="N23" s="148">
        <f>519-$AD$19</f>
        <v>308</v>
      </c>
      <c r="O23" s="148">
        <v>0</v>
      </c>
      <c r="P23" s="148">
        <v>0</v>
      </c>
      <c r="Q23" s="148">
        <v>0</v>
      </c>
      <c r="R23" s="148">
        <f t="shared" si="2"/>
        <v>10.098360655737705</v>
      </c>
      <c r="S23" s="86">
        <v>100000</v>
      </c>
      <c r="T23" s="86"/>
      <c r="U23" s="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91" t="s">
        <v>1005</v>
      </c>
      <c r="B24" s="192">
        <f t="shared" si="14"/>
        <v>75770.659265341674</v>
      </c>
      <c r="C24" s="192">
        <f t="shared" si="16"/>
        <v>86285.404235959024</v>
      </c>
      <c r="D24" s="192">
        <f t="shared" si="5"/>
        <v>87698.528602886829</v>
      </c>
      <c r="E24" s="192">
        <f t="shared" si="6"/>
        <v>89134.816004182911</v>
      </c>
      <c r="F24" s="192">
        <f t="shared" si="7"/>
        <v>90594.64643859776</v>
      </c>
      <c r="G24" s="192">
        <f t="shared" si="8"/>
        <v>92078.406144325374</v>
      </c>
      <c r="H24" s="192">
        <f t="shared" si="9"/>
        <v>93586.487701472288</v>
      </c>
      <c r="I24" s="192">
        <f t="shared" si="10"/>
        <v>95119.290136141106</v>
      </c>
      <c r="J24" s="192">
        <f t="shared" si="11"/>
        <v>96677.219026660066</v>
      </c>
      <c r="K24" s="192">
        <f t="shared" si="12"/>
        <v>98260.686610951918</v>
      </c>
      <c r="L24" s="192">
        <f t="shared" si="1"/>
        <v>89134.816004182911</v>
      </c>
      <c r="M24" s="191" t="s">
        <v>1006</v>
      </c>
      <c r="N24" s="191">
        <f>1397-$AD$19</f>
        <v>1186</v>
      </c>
      <c r="O24" s="191">
        <v>17</v>
      </c>
      <c r="P24" s="191">
        <f>$AI$2</f>
        <v>0.54</v>
      </c>
      <c r="Q24" s="191">
        <v>6</v>
      </c>
      <c r="R24" s="191">
        <f t="shared" si="2"/>
        <v>38.885245901639344</v>
      </c>
      <c r="S24" s="192">
        <v>100000</v>
      </c>
      <c r="T24" s="192">
        <v>96000</v>
      </c>
      <c r="U24" s="192">
        <f t="shared" si="3"/>
        <v>170675.11482694576</v>
      </c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87" t="s">
        <v>962</v>
      </c>
      <c r="B25" s="88">
        <f t="shared" si="14"/>
        <v>95727.658574047062</v>
      </c>
      <c r="C25" s="88">
        <f t="shared" si="16"/>
        <v>99503.173307526915</v>
      </c>
      <c r="D25" s="88">
        <f t="shared" si="5"/>
        <v>99985.494205859708</v>
      </c>
      <c r="E25" s="88">
        <f t="shared" si="6"/>
        <v>100470.15970950799</v>
      </c>
      <c r="F25" s="88">
        <f t="shared" si="7"/>
        <v>100957.18124816843</v>
      </c>
      <c r="G25" s="88">
        <f t="shared" si="8"/>
        <v>101446.57030740449</v>
      </c>
      <c r="H25" s="88">
        <f t="shared" si="9"/>
        <v>101938.33842893773</v>
      </c>
      <c r="I25" s="88">
        <f t="shared" si="10"/>
        <v>102432.49721090017</v>
      </c>
      <c r="J25" s="88">
        <f t="shared" si="11"/>
        <v>102929.0583081447</v>
      </c>
      <c r="K25" s="88">
        <f t="shared" si="12"/>
        <v>103428.03343249492</v>
      </c>
      <c r="L25" s="88">
        <f t="shared" si="1"/>
        <v>100470.15970950799</v>
      </c>
      <c r="M25" s="87" t="s">
        <v>977</v>
      </c>
      <c r="N25" s="87">
        <f>564-$AD$19</f>
        <v>353</v>
      </c>
      <c r="O25" s="87">
        <v>21</v>
      </c>
      <c r="P25" s="87">
        <f t="shared" ref="P25:P30" si="17">$AI$1</f>
        <v>0.51500000000000001</v>
      </c>
      <c r="Q25" s="87">
        <v>3</v>
      </c>
      <c r="R25" s="87">
        <f t="shared" si="2"/>
        <v>11.573770491803279</v>
      </c>
      <c r="S25" s="88">
        <v>100000</v>
      </c>
      <c r="T25" s="88">
        <v>100000</v>
      </c>
      <c r="U25" s="88">
        <f t="shared" si="3"/>
        <v>121900.52314525362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12" t="s">
        <v>963</v>
      </c>
      <c r="B26" s="57">
        <f t="shared" si="14"/>
        <v>90806.360355616591</v>
      </c>
      <c r="C26" s="57">
        <f t="shared" si="16"/>
        <v>94563.250650142523</v>
      </c>
      <c r="D26" s="57">
        <f t="shared" si="5"/>
        <v>95043.691062580736</v>
      </c>
      <c r="E26" s="57">
        <f t="shared" si="6"/>
        <v>95526.579043306891</v>
      </c>
      <c r="F26" s="57">
        <f t="shared" si="7"/>
        <v>96011.927095039297</v>
      </c>
      <c r="G26" s="57">
        <f t="shared" si="8"/>
        <v>96499.74778456983</v>
      </c>
      <c r="H26" s="57">
        <f t="shared" si="9"/>
        <v>96990.053743030265</v>
      </c>
      <c r="I26" s="57">
        <f t="shared" si="10"/>
        <v>97482.857666269556</v>
      </c>
      <c r="J26" s="57">
        <f t="shared" si="11"/>
        <v>97978.172315170712</v>
      </c>
      <c r="K26" s="57">
        <f t="shared" si="12"/>
        <v>98476.010515962145</v>
      </c>
      <c r="L26" s="57">
        <f t="shared" si="1"/>
        <v>95526.579043306891</v>
      </c>
      <c r="M26" s="12" t="s">
        <v>978</v>
      </c>
      <c r="N26" s="12">
        <f>581-$AD$19</f>
        <v>370</v>
      </c>
      <c r="O26" s="12">
        <v>16</v>
      </c>
      <c r="P26" s="12">
        <f t="shared" si="17"/>
        <v>0.51500000000000001</v>
      </c>
      <c r="Q26" s="12">
        <v>3</v>
      </c>
      <c r="R26" s="12">
        <f t="shared" si="2"/>
        <v>12.131147540983607</v>
      </c>
      <c r="S26" s="57">
        <v>100000</v>
      </c>
      <c r="T26" s="57">
        <v>92000</v>
      </c>
      <c r="U26" s="57">
        <f t="shared" si="3"/>
        <v>116987.51725769341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48" t="s">
        <v>956</v>
      </c>
      <c r="B27" s="86">
        <f t="shared" si="14"/>
        <v>94914.130406674114</v>
      </c>
      <c r="C27" s="86">
        <f t="shared" si="16"/>
        <v>99406.348657661263</v>
      </c>
      <c r="D27" s="86">
        <f t="shared" si="5"/>
        <v>99982.659041530336</v>
      </c>
      <c r="E27" s="86">
        <f t="shared" si="6"/>
        <v>100562.31856034594</v>
      </c>
      <c r="F27" s="86">
        <f t="shared" si="7"/>
        <v>101145.34672335343</v>
      </c>
      <c r="G27" s="86">
        <f t="shared" si="8"/>
        <v>101731.76315370094</v>
      </c>
      <c r="H27" s="86">
        <f t="shared" si="9"/>
        <v>102321.58758912684</v>
      </c>
      <c r="I27" s="86">
        <f t="shared" si="10"/>
        <v>102914.83988260287</v>
      </c>
      <c r="J27" s="86">
        <f t="shared" si="11"/>
        <v>103511.54000304932</v>
      </c>
      <c r="K27" s="86">
        <f t="shared" si="12"/>
        <v>104111.70803597958</v>
      </c>
      <c r="L27" s="86">
        <f t="shared" si="1"/>
        <v>100562.31856034594</v>
      </c>
      <c r="M27" s="148" t="s">
        <v>979</v>
      </c>
      <c r="N27" s="148">
        <f>633-$AD$19</f>
        <v>422</v>
      </c>
      <c r="O27" s="148">
        <v>21</v>
      </c>
      <c r="P27" s="148">
        <f t="shared" si="17"/>
        <v>0.51500000000000001</v>
      </c>
      <c r="Q27" s="148">
        <v>3</v>
      </c>
      <c r="R27" s="148">
        <f t="shared" si="2"/>
        <v>13.836065573770492</v>
      </c>
      <c r="S27" s="86">
        <v>100000</v>
      </c>
      <c r="T27" s="86">
        <v>100000</v>
      </c>
      <c r="U27" s="86">
        <f t="shared" si="3"/>
        <v>126711.74049649491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91" t="s">
        <v>949</v>
      </c>
      <c r="B28" s="90">
        <f t="shared" si="14"/>
        <v>94119.156865873578</v>
      </c>
      <c r="C28" s="94">
        <f t="shared" si="16"/>
        <v>99311.019443926096</v>
      </c>
      <c r="D28" s="90">
        <f t="shared" si="5"/>
        <v>99979.865045193044</v>
      </c>
      <c r="E28" s="90">
        <f t="shared" si="6"/>
        <v>100653.22448154463</v>
      </c>
      <c r="F28" s="90">
        <f t="shared" si="7"/>
        <v>101331.12827794768</v>
      </c>
      <c r="G28" s="90">
        <f t="shared" si="8"/>
        <v>102013.60716620462</v>
      </c>
      <c r="H28" s="90">
        <f t="shared" si="9"/>
        <v>102700.69208638195</v>
      </c>
      <c r="I28" s="90">
        <f t="shared" si="10"/>
        <v>103392.41418819234</v>
      </c>
      <c r="J28" s="90">
        <f t="shared" si="11"/>
        <v>104088.8048324657</v>
      </c>
      <c r="K28" s="90">
        <f t="shared" si="12"/>
        <v>104789.89559254295</v>
      </c>
      <c r="L28" s="92">
        <f t="shared" si="1"/>
        <v>100653.22448154463</v>
      </c>
      <c r="M28" s="91" t="s">
        <v>980</v>
      </c>
      <c r="N28" s="91">
        <f>701-$AD$19</f>
        <v>490</v>
      </c>
      <c r="O28" s="91">
        <v>21</v>
      </c>
      <c r="P28" s="91">
        <f t="shared" si="17"/>
        <v>0.51500000000000001</v>
      </c>
      <c r="Q28" s="91">
        <v>3</v>
      </c>
      <c r="R28" s="91">
        <f t="shared" si="2"/>
        <v>16.065573770491802</v>
      </c>
      <c r="S28" s="92">
        <v>100000</v>
      </c>
      <c r="T28" s="92">
        <v>100000</v>
      </c>
      <c r="U28" s="92">
        <f t="shared" si="3"/>
        <v>131638.97786455645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3" t="s">
        <v>964</v>
      </c>
      <c r="B29" s="90">
        <f t="shared" si="14"/>
        <v>89903.403550634321</v>
      </c>
      <c r="C29" s="94">
        <f t="shared" si="16"/>
        <v>95143.356972131776</v>
      </c>
      <c r="D29" s="90">
        <f t="shared" si="5"/>
        <v>95819.511491538098</v>
      </c>
      <c r="E29" s="90">
        <f t="shared" si="6"/>
        <v>96500.480593329325</v>
      </c>
      <c r="F29" s="90">
        <f t="shared" si="7"/>
        <v>97186.29862657687</v>
      </c>
      <c r="G29" s="90">
        <f t="shared" si="8"/>
        <v>97877.000185859695</v>
      </c>
      <c r="H29" s="90">
        <f t="shared" si="9"/>
        <v>98572.620113080309</v>
      </c>
      <c r="I29" s="90">
        <f t="shared" si="10"/>
        <v>99273.193499169021</v>
      </c>
      <c r="J29" s="90">
        <f t="shared" si="11"/>
        <v>99978.755685950004</v>
      </c>
      <c r="K29" s="90">
        <f t="shared" si="12"/>
        <v>100689.34226785245</v>
      </c>
      <c r="L29" s="94">
        <f t="shared" si="1"/>
        <v>96500.480593329325</v>
      </c>
      <c r="M29" s="93" t="s">
        <v>1004</v>
      </c>
      <c r="N29" s="93">
        <f>728-$AD$19</f>
        <v>517</v>
      </c>
      <c r="O29" s="93">
        <v>18</v>
      </c>
      <c r="P29" s="93">
        <f t="shared" si="17"/>
        <v>0.51500000000000001</v>
      </c>
      <c r="Q29" s="93">
        <v>3</v>
      </c>
      <c r="R29" s="93">
        <f t="shared" si="2"/>
        <v>16.950819672131146</v>
      </c>
      <c r="S29" s="94">
        <v>100000</v>
      </c>
      <c r="T29" s="94">
        <v>95000</v>
      </c>
      <c r="U29" s="94">
        <f t="shared" si="3"/>
        <v>128088.85131876751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148" t="s">
        <v>965</v>
      </c>
      <c r="B30" s="86">
        <f t="shared" si="14"/>
        <v>88700.96288713289</v>
      </c>
      <c r="C30" s="86">
        <f t="shared" si="16"/>
        <v>93286.11975684372</v>
      </c>
      <c r="D30" s="86">
        <f t="shared" si="5"/>
        <v>93875.720748889304</v>
      </c>
      <c r="E30" s="86">
        <f t="shared" si="6"/>
        <v>94469.056378328489</v>
      </c>
      <c r="F30" s="86">
        <f t="shared" si="7"/>
        <v>95066.150352634475</v>
      </c>
      <c r="G30" s="86">
        <f t="shared" si="8"/>
        <v>95667.026530145871</v>
      </c>
      <c r="H30" s="86">
        <f t="shared" si="9"/>
        <v>96271.708920950681</v>
      </c>
      <c r="I30" s="86">
        <f t="shared" si="10"/>
        <v>96880.221687912228</v>
      </c>
      <c r="J30" s="86">
        <f t="shared" si="11"/>
        <v>97492.589147623687</v>
      </c>
      <c r="K30" s="86">
        <f t="shared" si="12"/>
        <v>98108.835771360304</v>
      </c>
      <c r="L30" s="86">
        <f t="shared" si="1"/>
        <v>94469.056378328489</v>
      </c>
      <c r="M30" s="148" t="s">
        <v>981</v>
      </c>
      <c r="N30" s="148">
        <f>671-$AD$19</f>
        <v>460</v>
      </c>
      <c r="O30" s="148">
        <v>16</v>
      </c>
      <c r="P30" s="148">
        <f t="shared" si="17"/>
        <v>0.51500000000000001</v>
      </c>
      <c r="Q30" s="148">
        <v>3</v>
      </c>
      <c r="R30" s="148">
        <f t="shared" si="2"/>
        <v>15.081967213114755</v>
      </c>
      <c r="S30" s="86">
        <v>100000</v>
      </c>
      <c r="T30" s="86">
        <v>90600</v>
      </c>
      <c r="U30" s="86">
        <f t="shared" si="3"/>
        <v>121538.536706549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91" t="s">
        <v>966</v>
      </c>
      <c r="B31" s="90">
        <f t="shared" si="14"/>
        <v>79973.609332694119</v>
      </c>
      <c r="C31" s="94">
        <f t="shared" si="16"/>
        <v>87051.402145259752</v>
      </c>
      <c r="D31" s="90">
        <f t="shared" si="5"/>
        <v>87979.1351963044</v>
      </c>
      <c r="E31" s="90">
        <f t="shared" si="6"/>
        <v>88916.768288572493</v>
      </c>
      <c r="F31" s="90">
        <f t="shared" si="7"/>
        <v>89864.40720533616</v>
      </c>
      <c r="G31" s="90">
        <f t="shared" si="8"/>
        <v>90822.15886166734</v>
      </c>
      <c r="H31" s="90">
        <f t="shared" si="9"/>
        <v>91790.131316478379</v>
      </c>
      <c r="I31" s="90">
        <f t="shared" si="10"/>
        <v>92768.433784915105</v>
      </c>
      <c r="J31" s="90">
        <f t="shared" si="11"/>
        <v>93757.17665060026</v>
      </c>
      <c r="K31" s="90">
        <f t="shared" si="12"/>
        <v>94756.471478275271</v>
      </c>
      <c r="L31" s="92">
        <f t="shared" si="1"/>
        <v>88916.768288572493</v>
      </c>
      <c r="M31" s="91" t="s">
        <v>982</v>
      </c>
      <c r="N31" s="91">
        <f>985-$AD$19</f>
        <v>774</v>
      </c>
      <c r="O31" s="91">
        <v>15</v>
      </c>
      <c r="P31" s="91">
        <f>$AI$2</f>
        <v>0.54</v>
      </c>
      <c r="Q31" s="91">
        <v>6</v>
      </c>
      <c r="R31" s="91">
        <f t="shared" si="2"/>
        <v>25.377049180327869</v>
      </c>
      <c r="S31" s="92">
        <v>100000</v>
      </c>
      <c r="T31" s="92">
        <v>85800</v>
      </c>
      <c r="U31" s="92">
        <f t="shared" si="3"/>
        <v>135863.70475484102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3" t="s">
        <v>940</v>
      </c>
      <c r="B32" s="90">
        <f t="shared" si="14"/>
        <v>90115.865306324689</v>
      </c>
      <c r="C32" s="94">
        <f t="shared" si="16"/>
        <v>91628.584328497527</v>
      </c>
      <c r="D32" s="90">
        <f t="shared" si="5"/>
        <v>91819.462754422508</v>
      </c>
      <c r="E32" s="90">
        <f t="shared" si="6"/>
        <v>92010.741435106771</v>
      </c>
      <c r="F32" s="90">
        <f t="shared" si="7"/>
        <v>92202.421215349794</v>
      </c>
      <c r="G32" s="90">
        <f t="shared" si="8"/>
        <v>92394.502941736617</v>
      </c>
      <c r="H32" s="90">
        <f t="shared" si="9"/>
        <v>92586.987462659876</v>
      </c>
      <c r="I32" s="90">
        <f t="shared" si="10"/>
        <v>92779.875628307404</v>
      </c>
      <c r="J32" s="90">
        <f t="shared" si="11"/>
        <v>92973.168290676229</v>
      </c>
      <c r="K32" s="90">
        <f t="shared" si="12"/>
        <v>93166.866303578936</v>
      </c>
      <c r="L32" s="94">
        <f t="shared" si="1"/>
        <v>92010.741435106771</v>
      </c>
      <c r="M32" s="93" t="s">
        <v>983</v>
      </c>
      <c r="N32" s="93">
        <f>363-$AD$19</f>
        <v>152</v>
      </c>
      <c r="O32" s="93">
        <v>0</v>
      </c>
      <c r="P32" s="93">
        <v>0</v>
      </c>
      <c r="Q32" s="93">
        <v>0</v>
      </c>
      <c r="R32" s="93">
        <f t="shared" si="2"/>
        <v>4.9836065573770494</v>
      </c>
      <c r="S32" s="94">
        <v>100000</v>
      </c>
      <c r="T32" s="94">
        <v>82800</v>
      </c>
      <c r="U32" s="94">
        <f>B32*(1+$AC$2/36500)^N32</f>
        <v>100000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89" t="s">
        <v>971</v>
      </c>
      <c r="B33" s="90">
        <f>$S33/(1+($B$1-$O33+$P33)/36500)^$N33</f>
        <v>85152.732128159114</v>
      </c>
      <c r="C33" s="94">
        <f t="shared" si="16"/>
        <v>95630.330335001403</v>
      </c>
      <c r="D33" s="90">
        <f t="shared" si="5"/>
        <v>97027.68685634507</v>
      </c>
      <c r="E33" s="90">
        <f t="shared" si="6"/>
        <v>98445.481203160976</v>
      </c>
      <c r="F33" s="90">
        <f t="shared" si="7"/>
        <v>99884.012586535289</v>
      </c>
      <c r="G33" s="90">
        <f t="shared" si="8"/>
        <v>101343.58460217502</v>
      </c>
      <c r="H33" s="90">
        <f t="shared" si="9"/>
        <v>102824.50529479155</v>
      </c>
      <c r="I33" s="90">
        <f t="shared" si="10"/>
        <v>104327.0872233113</v>
      </c>
      <c r="J33" s="90">
        <f t="shared" si="11"/>
        <v>105851.64752709413</v>
      </c>
      <c r="K33" s="90">
        <f t="shared" si="12"/>
        <v>107398.50799317371</v>
      </c>
      <c r="L33" s="90">
        <f t="shared" si="1"/>
        <v>98445.481203160976</v>
      </c>
      <c r="M33" s="89" t="s">
        <v>974</v>
      </c>
      <c r="N33" s="89">
        <f>1270-$AD$19</f>
        <v>1059</v>
      </c>
      <c r="O33" s="89">
        <v>20</v>
      </c>
      <c r="P33" s="89">
        <f>$AI$2</f>
        <v>0.54</v>
      </c>
      <c r="Q33" s="89">
        <v>6</v>
      </c>
      <c r="R33" s="89">
        <f t="shared" si="2"/>
        <v>34.721311475409834</v>
      </c>
      <c r="S33" s="90">
        <v>100000</v>
      </c>
      <c r="T33" s="90">
        <v>100000</v>
      </c>
      <c r="U33" s="90">
        <f t="shared" si="3"/>
        <v>175834.05251805327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148" t="s">
        <v>975</v>
      </c>
      <c r="B34" s="86">
        <f t="shared" si="14"/>
        <v>98632.394585657676</v>
      </c>
      <c r="C34" s="86">
        <f t="shared" si="16"/>
        <v>100190.19560388643</v>
      </c>
      <c r="D34" s="86">
        <f t="shared" si="5"/>
        <v>100386.65490553952</v>
      </c>
      <c r="E34" s="86">
        <f t="shared" si="6"/>
        <v>100583.50213630767</v>
      </c>
      <c r="F34" s="86">
        <f t="shared" si="7"/>
        <v>100780.73806752887</v>
      </c>
      <c r="G34" s="86">
        <f t="shared" si="8"/>
        <v>100978.36347207944</v>
      </c>
      <c r="H34" s="86">
        <f t="shared" si="9"/>
        <v>101176.37912439059</v>
      </c>
      <c r="I34" s="86">
        <f t="shared" si="10"/>
        <v>101374.78580044031</v>
      </c>
      <c r="J34" s="86">
        <f t="shared" si="11"/>
        <v>101573.58427775974</v>
      </c>
      <c r="K34" s="86">
        <f t="shared" si="12"/>
        <v>101772.77533543792</v>
      </c>
      <c r="L34" s="86">
        <f t="shared" si="1"/>
        <v>100583.50213630767</v>
      </c>
      <c r="M34" s="148" t="s">
        <v>976</v>
      </c>
      <c r="N34" s="148">
        <f>354-$AD$19</f>
        <v>143</v>
      </c>
      <c r="O34" s="148">
        <v>22</v>
      </c>
      <c r="P34" s="148">
        <f>AI1</f>
        <v>0.51500000000000001</v>
      </c>
      <c r="Q34" s="148">
        <v>3</v>
      </c>
      <c r="R34" s="148">
        <f t="shared" si="2"/>
        <v>4.6885245901639347</v>
      </c>
      <c r="S34" s="86">
        <v>100000</v>
      </c>
      <c r="T34" s="86">
        <v>103000</v>
      </c>
      <c r="U34" s="86">
        <f t="shared" si="3"/>
        <v>108778.25268713672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91" t="s">
        <v>997</v>
      </c>
      <c r="B35" s="192">
        <f t="shared" si="14"/>
        <v>94006.633912251869</v>
      </c>
      <c r="C35" s="192">
        <f t="shared" si="16"/>
        <v>100000</v>
      </c>
      <c r="D35" s="192">
        <f t="shared" si="5"/>
        <v>100775.60034875822</v>
      </c>
      <c r="E35" s="192">
        <f t="shared" si="6"/>
        <v>101557.22700522687</v>
      </c>
      <c r="F35" s="192">
        <f t="shared" si="7"/>
        <v>102344.92687651381</v>
      </c>
      <c r="G35" s="192">
        <f t="shared" si="8"/>
        <v>103138.74723545769</v>
      </c>
      <c r="H35" s="192">
        <f t="shared" si="9"/>
        <v>103938.73572356207</v>
      </c>
      <c r="I35" s="192">
        <f t="shared" si="10"/>
        <v>104744.94035379171</v>
      </c>
      <c r="J35" s="192">
        <f t="shared" si="11"/>
        <v>105557.40951352922</v>
      </c>
      <c r="K35" s="192">
        <f t="shared" si="12"/>
        <v>106376.1919674692</v>
      </c>
      <c r="L35" s="192">
        <f t="shared" si="1"/>
        <v>101557.22700522687</v>
      </c>
      <c r="M35" s="191" t="s">
        <v>998</v>
      </c>
      <c r="N35" s="191">
        <f>775-$AD$19</f>
        <v>564</v>
      </c>
      <c r="O35" s="191">
        <v>21</v>
      </c>
      <c r="P35" s="191">
        <v>0</v>
      </c>
      <c r="Q35" s="191">
        <v>1</v>
      </c>
      <c r="R35" s="191">
        <f t="shared" si="2"/>
        <v>18.491803278688526</v>
      </c>
      <c r="S35" s="192">
        <v>100000</v>
      </c>
      <c r="T35" s="192">
        <v>104000</v>
      </c>
      <c r="U35" s="192">
        <f t="shared" si="3"/>
        <v>138315.11008580829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87" t="s">
        <v>1046</v>
      </c>
      <c r="B36" s="88">
        <f t="shared" si="14"/>
        <v>76949.666194222707</v>
      </c>
      <c r="C36" s="88">
        <f t="shared" si="16"/>
        <v>86996.619374921705</v>
      </c>
      <c r="D36" s="88">
        <f t="shared" si="5"/>
        <v>88341.494431448955</v>
      </c>
      <c r="E36" s="88">
        <f t="shared" si="6"/>
        <v>89707.178673305709</v>
      </c>
      <c r="F36" s="88">
        <f t="shared" si="7"/>
        <v>91093.994371606546</v>
      </c>
      <c r="G36" s="88">
        <f t="shared" si="8"/>
        <v>92502.268793060604</v>
      </c>
      <c r="H36" s="88">
        <f t="shared" si="9"/>
        <v>93932.334277414615</v>
      </c>
      <c r="I36" s="88">
        <f t="shared" si="10"/>
        <v>95384.528316031981</v>
      </c>
      <c r="J36" s="88">
        <f t="shared" si="11"/>
        <v>96859.19363210327</v>
      </c>
      <c r="K36" s="88">
        <f t="shared" si="12"/>
        <v>98356.678261526438</v>
      </c>
      <c r="L36" s="88">
        <f t="shared" si="1"/>
        <v>89707.178673305709</v>
      </c>
      <c r="M36" s="87" t="s">
        <v>1047</v>
      </c>
      <c r="N36" s="87">
        <f>1331-$AD$19</f>
        <v>1120</v>
      </c>
      <c r="O36" s="87">
        <v>17</v>
      </c>
      <c r="P36" s="87">
        <f>AI2</f>
        <v>0.54</v>
      </c>
      <c r="Q36" s="87">
        <v>6</v>
      </c>
      <c r="R36" s="87">
        <f t="shared" si="2"/>
        <v>36.721311475409834</v>
      </c>
      <c r="S36" s="88">
        <v>100000</v>
      </c>
      <c r="T36" s="88"/>
      <c r="U36" s="88">
        <f t="shared" si="3"/>
        <v>165672.37878706798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5"/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170" t="s">
        <v>4041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 t="s">
        <v>25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 t="s">
        <v>25</v>
      </c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 t="s">
        <v>25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D48" t="s">
        <v>1107</v>
      </c>
      <c r="E48">
        <v>7.2499999999999995E-2</v>
      </c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1108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1109</v>
      </c>
      <c r="E50">
        <v>0.125</v>
      </c>
      <c r="AD50" s="25"/>
      <c r="AE50" s="26"/>
    </row>
    <row r="51" spans="1:31" x14ac:dyDescent="0.25">
      <c r="D51" t="s">
        <v>3788</v>
      </c>
      <c r="E51">
        <v>0.49</v>
      </c>
      <c r="AD51" s="25"/>
      <c r="AE51" s="26"/>
    </row>
    <row r="52" spans="1:31" x14ac:dyDescent="0.25">
      <c r="D52" t="s">
        <v>3789</v>
      </c>
      <c r="E52">
        <v>1.03</v>
      </c>
      <c r="H52">
        <v>120377</v>
      </c>
      <c r="I52" s="90">
        <v>72.585300000000004</v>
      </c>
      <c r="J52" s="90">
        <f>H52*I52</f>
        <v>8737600.6580999997</v>
      </c>
      <c r="AD52" s="25"/>
      <c r="AE52" s="26"/>
    </row>
    <row r="53" spans="1:31" x14ac:dyDescent="0.25">
      <c r="H53">
        <v>25183</v>
      </c>
      <c r="I53" s="90">
        <v>71.859800000000007</v>
      </c>
      <c r="J53" s="90">
        <f>H53*I53</f>
        <v>1809645.3434000001</v>
      </c>
      <c r="AD53" s="25"/>
      <c r="AE53" s="26"/>
    </row>
    <row r="54" spans="1:31" x14ac:dyDescent="0.25">
      <c r="AD54" s="25"/>
      <c r="AE54" s="26"/>
    </row>
    <row r="55" spans="1:31" x14ac:dyDescent="0.25">
      <c r="H55">
        <v>145560</v>
      </c>
      <c r="I55">
        <v>72.252300000000005</v>
      </c>
      <c r="J55">
        <f>H55*I55</f>
        <v>10517044.788000001</v>
      </c>
      <c r="L55" s="114">
        <f>J52+J53-J55</f>
        <v>30201.213499998674</v>
      </c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61">
        <v>605</v>
      </c>
      <c r="B61" t="s">
        <v>4247</v>
      </c>
      <c r="AD61" s="25"/>
      <c r="AE61" s="26"/>
    </row>
    <row r="62" spans="1:31" x14ac:dyDescent="0.25">
      <c r="A62">
        <v>611</v>
      </c>
      <c r="B62" t="s">
        <v>4239</v>
      </c>
      <c r="AD62" s="25"/>
      <c r="AE62" s="26"/>
    </row>
    <row r="63" spans="1:31" x14ac:dyDescent="0.25">
      <c r="AD63" s="25"/>
      <c r="AE63" s="26"/>
    </row>
    <row r="64" spans="1:31" x14ac:dyDescent="0.25">
      <c r="A64">
        <v>701</v>
      </c>
      <c r="B64" t="s">
        <v>4240</v>
      </c>
      <c r="AD64" s="25"/>
      <c r="AE64" s="26"/>
    </row>
    <row r="65" spans="1:31" x14ac:dyDescent="0.25">
      <c r="A65">
        <v>702</v>
      </c>
      <c r="B65" t="s">
        <v>4241</v>
      </c>
      <c r="AD65" s="25"/>
      <c r="AE65" s="26"/>
    </row>
    <row r="66" spans="1:31" x14ac:dyDescent="0.25">
      <c r="A66">
        <v>704</v>
      </c>
      <c r="B66" t="s">
        <v>4242</v>
      </c>
      <c r="AD66" s="25"/>
      <c r="AE66" s="26"/>
    </row>
    <row r="67" spans="1:31" x14ac:dyDescent="0.25">
      <c r="A67">
        <v>705</v>
      </c>
      <c r="B67" t="s">
        <v>4243</v>
      </c>
      <c r="AD67" s="25"/>
      <c r="AE67" s="26"/>
    </row>
    <row r="68" spans="1:31" x14ac:dyDescent="0.25">
      <c r="A68">
        <v>706</v>
      </c>
      <c r="B68" t="s">
        <v>4244</v>
      </c>
      <c r="AD68" s="25"/>
      <c r="AE68" s="26"/>
    </row>
    <row r="69" spans="1:31" x14ac:dyDescent="0.25">
      <c r="A69" s="25">
        <v>711</v>
      </c>
      <c r="B69" s="25" t="s">
        <v>4245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26"/>
      <c r="T69" s="26"/>
      <c r="AD69" s="25"/>
      <c r="AE69" s="26"/>
    </row>
    <row r="70" spans="1:31" x14ac:dyDescent="0.25">
      <c r="A70" s="122">
        <v>712</v>
      </c>
      <c r="B70" s="122" t="s">
        <v>4246</v>
      </c>
      <c r="AD70" s="25"/>
      <c r="AE70" s="26"/>
    </row>
    <row r="71" spans="1:31" x14ac:dyDescent="0.25">
      <c r="AD71" s="25"/>
      <c r="AE71" s="26"/>
    </row>
    <row r="72" spans="1:31" x14ac:dyDescent="0.25">
      <c r="S72" t="s">
        <v>25</v>
      </c>
      <c r="AD72" s="25"/>
      <c r="AE72" s="26"/>
    </row>
    <row r="73" spans="1:31" x14ac:dyDescent="0.25">
      <c r="T73" t="s">
        <v>25</v>
      </c>
      <c r="AD73" s="25"/>
      <c r="AE73" s="26"/>
    </row>
    <row r="74" spans="1:31" x14ac:dyDescent="0.25"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8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14300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4286</v>
      </c>
      <c r="B8" s="95">
        <f>B2*B4*B5*B6/(B1*B3)+B7</f>
        <v>4144749.302250803</v>
      </c>
      <c r="C8" s="99">
        <f>B2*B4*B5/(B1*B3)+B7/B6</f>
        <v>289.8426085490072</v>
      </c>
      <c r="D8" s="99" t="s">
        <v>4289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4287</v>
      </c>
      <c r="B9" s="95">
        <v>4395000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4288</v>
      </c>
      <c r="B10" s="95">
        <f>B9-B8</f>
        <v>250250.69774919702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4" t="s">
        <v>1091</v>
      </c>
      <c r="R21" s="194"/>
      <c r="S21" s="194"/>
      <c r="T21" s="194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4"/>
      <c r="R22" s="194"/>
      <c r="S22" s="194"/>
      <c r="T22" s="194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5" t="s">
        <v>1092</v>
      </c>
      <c r="R23" s="196" t="s">
        <v>1093</v>
      </c>
      <c r="S23" s="195" t="s">
        <v>1094</v>
      </c>
      <c r="T23" s="197" t="s">
        <v>1095</v>
      </c>
      <c r="AD23" t="s">
        <v>25</v>
      </c>
    </row>
    <row r="24" spans="5:35" x14ac:dyDescent="0.25">
      <c r="O24" s="99"/>
      <c r="P24" s="99"/>
      <c r="Q24" s="195"/>
      <c r="R24" s="196"/>
      <c r="S24" s="195"/>
      <c r="T24" s="197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4229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-95</v>
      </c>
      <c r="C91" s="144">
        <f>$B$89/(1+(C$90/36500))^$B91</f>
        <v>3143855.9486163468</v>
      </c>
      <c r="D91" s="144">
        <f>$B$89/(1+(D$90/36500))^$B91</f>
        <v>3152045.0892070993</v>
      </c>
      <c r="E91" s="144">
        <f t="shared" ref="E91:K106" si="0">$B$89/(1+(E$90/36500))^$B91</f>
        <v>3160255.3358185221</v>
      </c>
      <c r="F91" s="144">
        <f t="shared" si="0"/>
        <v>3168486.7422673861</v>
      </c>
      <c r="G91" s="144">
        <f t="shared" si="0"/>
        <v>3176739.3625060865</v>
      </c>
      <c r="H91" s="144">
        <f t="shared" si="0"/>
        <v>3185013.250623391</v>
      </c>
      <c r="I91" s="144">
        <f t="shared" si="0"/>
        <v>3193308.4608442546</v>
      </c>
      <c r="J91" s="144">
        <f t="shared" si="0"/>
        <v>3201625.0475304057</v>
      </c>
      <c r="K91" s="144">
        <f>$B$89/(1+(K$90/36500))^$B91</f>
        <v>3209963.0651807515</v>
      </c>
      <c r="L91" s="99"/>
    </row>
    <row r="92" spans="1:12" x14ac:dyDescent="0.25">
      <c r="A92" s="145" t="s">
        <v>3860</v>
      </c>
      <c r="B92" s="91">
        <f>120-'اوراق بدون ریسک'!$AD$19</f>
        <v>-91</v>
      </c>
      <c r="C92" s="146">
        <f t="shared" ref="C92:K112" si="1">$B$89/(1+(C$90/36500))^$B92</f>
        <v>3137662.0080064135</v>
      </c>
      <c r="D92" s="146">
        <f t="shared" si="1"/>
        <v>3145490.4590472835</v>
      </c>
      <c r="E92" s="146">
        <f t="shared" si="0"/>
        <v>3153338.2268681377</v>
      </c>
      <c r="F92" s="146">
        <f t="shared" si="0"/>
        <v>3161205.3586024311</v>
      </c>
      <c r="G92" s="146">
        <f t="shared" si="0"/>
        <v>3169091.9014972127</v>
      </c>
      <c r="H92" s="146">
        <f t="shared" si="0"/>
        <v>3176997.9029137958</v>
      </c>
      <c r="I92" s="146">
        <f t="shared" si="0"/>
        <v>3184923.4103275235</v>
      </c>
      <c r="J92" s="146">
        <f t="shared" si="0"/>
        <v>3192868.4713282729</v>
      </c>
      <c r="K92" s="146">
        <f t="shared" si="0"/>
        <v>3200833.133620793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-74</v>
      </c>
      <c r="C93" s="149">
        <f t="shared" si="1"/>
        <v>3111473.6113933804</v>
      </c>
      <c r="D93" s="149">
        <f t="shared" si="1"/>
        <v>3117785.0012318101</v>
      </c>
      <c r="E93" s="149">
        <f t="shared" si="0"/>
        <v>3124109.0199005813</v>
      </c>
      <c r="F93" s="149">
        <f t="shared" si="0"/>
        <v>3130445.6923226202</v>
      </c>
      <c r="G93" s="149">
        <f t="shared" si="0"/>
        <v>3136795.0434692637</v>
      </c>
      <c r="H93" s="149">
        <f t="shared" si="0"/>
        <v>3143157.0983606665</v>
      </c>
      <c r="I93" s="149">
        <f t="shared" si="0"/>
        <v>3149531.8820654899</v>
      </c>
      <c r="J93" s="149">
        <f t="shared" si="0"/>
        <v>3155919.41970118</v>
      </c>
      <c r="K93" s="149">
        <f t="shared" si="0"/>
        <v>3162319.7364341165</v>
      </c>
      <c r="L93" s="144">
        <f t="shared" ref="L93:L114" si="2">$B$89/(1+(L$92/36500))^$B91</f>
        <v>3218322.5684316549</v>
      </c>
    </row>
    <row r="94" spans="1:12" x14ac:dyDescent="0.25">
      <c r="A94" s="150" t="s">
        <v>3862</v>
      </c>
      <c r="B94" s="151">
        <f>116-'اوراق بدون ریسک'!$AD$19</f>
        <v>-95</v>
      </c>
      <c r="C94" s="152">
        <f t="shared" si="1"/>
        <v>3143855.9486163468</v>
      </c>
      <c r="D94" s="152">
        <f t="shared" si="1"/>
        <v>3152045.0892070993</v>
      </c>
      <c r="E94" s="152">
        <f t="shared" si="0"/>
        <v>3160255.3358185221</v>
      </c>
      <c r="F94" s="152">
        <f t="shared" si="0"/>
        <v>3168486.7422673861</v>
      </c>
      <c r="G94" s="152">
        <f t="shared" si="0"/>
        <v>3176739.3625060865</v>
      </c>
      <c r="H94" s="152">
        <f t="shared" si="0"/>
        <v>3185013.250623391</v>
      </c>
      <c r="I94" s="152">
        <f t="shared" si="0"/>
        <v>3193308.4608442546</v>
      </c>
      <c r="J94" s="152">
        <f t="shared" si="0"/>
        <v>3201625.0475304057</v>
      </c>
      <c r="K94" s="152">
        <f t="shared" si="0"/>
        <v>3209963.0651807515</v>
      </c>
      <c r="L94" s="146">
        <f t="shared" si="2"/>
        <v>3208817.4450249169</v>
      </c>
    </row>
    <row r="95" spans="1:12" x14ac:dyDescent="0.25">
      <c r="A95" s="153" t="s">
        <v>3863</v>
      </c>
      <c r="B95" s="154">
        <f>167-'اوراق بدون ریسک'!$AD$19</f>
        <v>-44</v>
      </c>
      <c r="C95" s="155">
        <f t="shared" si="1"/>
        <v>3065790.8745569815</v>
      </c>
      <c r="D95" s="155">
        <f t="shared" si="1"/>
        <v>3069486.9764341512</v>
      </c>
      <c r="E95" s="155">
        <f t="shared" si="0"/>
        <v>3073187.4329208727</v>
      </c>
      <c r="F95" s="155">
        <f t="shared" si="0"/>
        <v>3076892.249028136</v>
      </c>
      <c r="G95" s="155">
        <f t="shared" si="0"/>
        <v>3080601.4297725107</v>
      </c>
      <c r="H95" s="155">
        <f t="shared" si="0"/>
        <v>3084314.9801763268</v>
      </c>
      <c r="I95" s="155">
        <f t="shared" si="0"/>
        <v>3088032.9052674524</v>
      </c>
      <c r="J95" s="155">
        <f t="shared" si="0"/>
        <v>3091755.2100794073</v>
      </c>
      <c r="K95" s="155">
        <f t="shared" si="0"/>
        <v>3095481.8996513993</v>
      </c>
      <c r="L95" s="149">
        <f t="shared" si="2"/>
        <v>3168732.8574796556</v>
      </c>
    </row>
    <row r="96" spans="1:12" x14ac:dyDescent="0.25">
      <c r="A96" s="158" t="s">
        <v>3864</v>
      </c>
      <c r="B96" s="23">
        <f>181-'اوراق بدون ریسک'!$AD$19</f>
        <v>-30</v>
      </c>
      <c r="C96" s="159">
        <f t="shared" si="1"/>
        <v>3044702.4001690913</v>
      </c>
      <c r="D96" s="159">
        <f t="shared" si="1"/>
        <v>3047204.6552096149</v>
      </c>
      <c r="E96" s="159">
        <f t="shared" si="0"/>
        <v>3049708.8980980027</v>
      </c>
      <c r="F96" s="159">
        <f t="shared" si="0"/>
        <v>3052215.1303589512</v>
      </c>
      <c r="G96" s="159">
        <f t="shared" si="0"/>
        <v>3054723.3535182481</v>
      </c>
      <c r="H96" s="159">
        <f t="shared" si="0"/>
        <v>3057233.5691028978</v>
      </c>
      <c r="I96" s="159">
        <f t="shared" si="0"/>
        <v>3059745.7786409608</v>
      </c>
      <c r="J96" s="159">
        <f t="shared" si="0"/>
        <v>3062259.9836616344</v>
      </c>
      <c r="K96" s="159">
        <f t="shared" si="0"/>
        <v>3064776.1856952668</v>
      </c>
      <c r="L96" s="152">
        <f t="shared" si="2"/>
        <v>3218322.5684316549</v>
      </c>
    </row>
    <row r="97" spans="1:12" x14ac:dyDescent="0.25">
      <c r="A97" s="160" t="s">
        <v>3865</v>
      </c>
      <c r="B97" s="87">
        <f>197-'اوراق بدون ریسک'!$AD$19</f>
        <v>-14</v>
      </c>
      <c r="C97" s="140">
        <f t="shared" si="1"/>
        <v>3020778.8528560819</v>
      </c>
      <c r="D97" s="140">
        <f t="shared" si="1"/>
        <v>3021937.1428037579</v>
      </c>
      <c r="E97" s="140">
        <f t="shared" si="0"/>
        <v>3023095.8451518225</v>
      </c>
      <c r="F97" s="140">
        <f t="shared" si="0"/>
        <v>3024254.9600358102</v>
      </c>
      <c r="G97" s="140">
        <f t="shared" si="0"/>
        <v>3025414.4875912811</v>
      </c>
      <c r="H97" s="140">
        <f t="shared" si="0"/>
        <v>3026574.4279538738</v>
      </c>
      <c r="I97" s="140">
        <f t="shared" si="0"/>
        <v>3027734.781259235</v>
      </c>
      <c r="J97" s="140">
        <f t="shared" si="0"/>
        <v>3028895.5476430561</v>
      </c>
      <c r="K97" s="140">
        <f t="shared" si="0"/>
        <v>3030056.7272410798</v>
      </c>
      <c r="L97" s="155">
        <f t="shared" si="2"/>
        <v>3099212.9790282971</v>
      </c>
    </row>
    <row r="98" spans="1:12" x14ac:dyDescent="0.25">
      <c r="A98" s="161" t="s">
        <v>3866</v>
      </c>
      <c r="B98" s="23">
        <f>214-'اوراق بدون ریسک'!$AD$19</f>
        <v>3</v>
      </c>
      <c r="C98" s="106">
        <f t="shared" si="1"/>
        <v>2995566.0177970496</v>
      </c>
      <c r="D98" s="106">
        <f t="shared" si="1"/>
        <v>2995319.9417278017</v>
      </c>
      <c r="E98" s="106">
        <f t="shared" si="0"/>
        <v>2995073.8926102892</v>
      </c>
      <c r="F98" s="106">
        <f t="shared" si="0"/>
        <v>2994827.8704408193</v>
      </c>
      <c r="G98" s="106">
        <f t="shared" si="0"/>
        <v>2994581.8752157073</v>
      </c>
      <c r="H98" s="106">
        <f t="shared" si="0"/>
        <v>2994335.9069312597</v>
      </c>
      <c r="I98" s="106">
        <f t="shared" si="0"/>
        <v>2994089.9655837901</v>
      </c>
      <c r="J98" s="106">
        <f t="shared" si="0"/>
        <v>2993844.0511696124</v>
      </c>
      <c r="K98" s="106">
        <f t="shared" si="0"/>
        <v>2993598.1636850382</v>
      </c>
      <c r="L98" s="159">
        <f t="shared" si="2"/>
        <v>3067294.3862733399</v>
      </c>
    </row>
    <row r="99" spans="1:12" x14ac:dyDescent="0.25">
      <c r="A99" s="162" t="s">
        <v>3867</v>
      </c>
      <c r="B99" s="163">
        <f>272-'اوراق بدون ریسک'!$AD$19</f>
        <v>61</v>
      </c>
      <c r="C99" s="164">
        <f t="shared" si="1"/>
        <v>2911118.9086650042</v>
      </c>
      <c r="D99" s="164">
        <f t="shared" si="1"/>
        <v>2906260.2747164862</v>
      </c>
      <c r="E99" s="164">
        <f t="shared" si="0"/>
        <v>2901409.8824980226</v>
      </c>
      <c r="F99" s="164">
        <f t="shared" si="0"/>
        <v>2896567.7178040124</v>
      </c>
      <c r="G99" s="164">
        <f t="shared" si="0"/>
        <v>2891733.7664537923</v>
      </c>
      <c r="H99" s="164">
        <f t="shared" si="0"/>
        <v>2886908.0142913628</v>
      </c>
      <c r="I99" s="164">
        <f t="shared" si="0"/>
        <v>2882090.4471856453</v>
      </c>
      <c r="J99" s="164">
        <f t="shared" si="0"/>
        <v>2877281.0510302945</v>
      </c>
      <c r="K99" s="164">
        <f t="shared" si="0"/>
        <v>2872479.8117436199</v>
      </c>
      <c r="L99" s="140">
        <f t="shared" si="2"/>
        <v>3031218.3201890867</v>
      </c>
    </row>
    <row r="100" spans="1:12" x14ac:dyDescent="0.25">
      <c r="A100" s="147" t="s">
        <v>3868</v>
      </c>
      <c r="B100" s="148">
        <f>302-'اوراق بدون ریسک'!$AD$19</f>
        <v>91</v>
      </c>
      <c r="C100" s="149">
        <f t="shared" si="1"/>
        <v>2868377.7848074716</v>
      </c>
      <c r="D100" s="149">
        <f t="shared" si="1"/>
        <v>2861239.007771764</v>
      </c>
      <c r="E100" s="149">
        <f t="shared" si="0"/>
        <v>2854118.1923699649</v>
      </c>
      <c r="F100" s="149">
        <f t="shared" si="0"/>
        <v>2847015.2929194388</v>
      </c>
      <c r="G100" s="149">
        <f t="shared" si="0"/>
        <v>2839930.2638550876</v>
      </c>
      <c r="H100" s="149">
        <f t="shared" si="0"/>
        <v>2832863.0597286876</v>
      </c>
      <c r="I100" s="149">
        <f t="shared" si="0"/>
        <v>2825813.6352090426</v>
      </c>
      <c r="J100" s="149">
        <f t="shared" si="0"/>
        <v>2818781.9450814673</v>
      </c>
      <c r="K100" s="149">
        <f t="shared" si="0"/>
        <v>2811767.9442474311</v>
      </c>
      <c r="L100" s="106">
        <f t="shared" si="2"/>
        <v>2993352.3031263822</v>
      </c>
    </row>
    <row r="101" spans="1:12" x14ac:dyDescent="0.25">
      <c r="A101" s="150" t="s">
        <v>3869</v>
      </c>
      <c r="B101" s="151">
        <f>319-'اوراق بدون ریسک'!$AD$19</f>
        <v>108</v>
      </c>
      <c r="C101" s="152">
        <f t="shared" si="1"/>
        <v>2844436.9604379665</v>
      </c>
      <c r="D101" s="152">
        <f t="shared" si="1"/>
        <v>2836037.2347376733</v>
      </c>
      <c r="E101" s="152">
        <f t="shared" si="0"/>
        <v>2827662.5427210191</v>
      </c>
      <c r="F101" s="152">
        <f t="shared" si="0"/>
        <v>2819312.8090977515</v>
      </c>
      <c r="G101" s="152">
        <f t="shared" si="0"/>
        <v>2810987.9588062288</v>
      </c>
      <c r="H101" s="152">
        <f t="shared" si="0"/>
        <v>2802687.9170123097</v>
      </c>
      <c r="I101" s="152">
        <f t="shared" si="0"/>
        <v>2794412.6091091852</v>
      </c>
      <c r="J101" s="152">
        <f t="shared" si="0"/>
        <v>2786161.9607164352</v>
      </c>
      <c r="K101" s="152">
        <f t="shared" si="0"/>
        <v>2777935.8976792716</v>
      </c>
      <c r="L101" s="164">
        <f t="shared" si="2"/>
        <v>2867686.7152685788</v>
      </c>
    </row>
    <row r="102" spans="1:12" x14ac:dyDescent="0.25">
      <c r="A102" s="147" t="s">
        <v>3870</v>
      </c>
      <c r="B102" s="148">
        <f>334-'اوراق بدون ریسک'!$AD$19</f>
        <v>123</v>
      </c>
      <c r="C102" s="149">
        <f t="shared" si="1"/>
        <v>2823478.699674339</v>
      </c>
      <c r="D102" s="149">
        <f t="shared" si="1"/>
        <v>2813984.7808028958</v>
      </c>
      <c r="E102" s="149">
        <f t="shared" si="0"/>
        <v>2804523.0437968923</v>
      </c>
      <c r="F102" s="149">
        <f t="shared" si="0"/>
        <v>2795093.3786916058</v>
      </c>
      <c r="G102" s="149">
        <f t="shared" si="0"/>
        <v>2785695.6759011908</v>
      </c>
      <c r="H102" s="149">
        <f t="shared" si="0"/>
        <v>2776329.8262168965</v>
      </c>
      <c r="I102" s="149">
        <f t="shared" si="0"/>
        <v>2766995.7208063602</v>
      </c>
      <c r="J102" s="149">
        <f t="shared" si="0"/>
        <v>2757693.2512120185</v>
      </c>
      <c r="K102" s="149">
        <f t="shared" si="0"/>
        <v>2748422.3093497353</v>
      </c>
      <c r="L102" s="149">
        <f t="shared" si="2"/>
        <v>2804771.5877243099</v>
      </c>
    </row>
    <row r="103" spans="1:12" x14ac:dyDescent="0.25">
      <c r="A103" s="150" t="s">
        <v>3871</v>
      </c>
      <c r="B103" s="151">
        <f>349-'اوراق بدون ریسک'!$AD$19</f>
        <v>138</v>
      </c>
      <c r="C103" s="152">
        <f t="shared" si="1"/>
        <v>2802674.8626860841</v>
      </c>
      <c r="D103" s="152">
        <f t="shared" si="1"/>
        <v>2792103.8023052495</v>
      </c>
      <c r="E103" s="152">
        <f t="shared" si="0"/>
        <v>2781572.9014180992</v>
      </c>
      <c r="F103" s="152">
        <f t="shared" si="0"/>
        <v>2771082.0063651828</v>
      </c>
      <c r="G103" s="152">
        <f t="shared" si="0"/>
        <v>2760630.9640793176</v>
      </c>
      <c r="H103" s="152">
        <f t="shared" si="0"/>
        <v>2750219.6220827708</v>
      </c>
      <c r="I103" s="152">
        <f t="shared" si="0"/>
        <v>2739847.8284856449</v>
      </c>
      <c r="J103" s="152">
        <f t="shared" si="0"/>
        <v>2729515.4319832823</v>
      </c>
      <c r="K103" s="152">
        <f t="shared" si="0"/>
        <v>2719222.2818539147</v>
      </c>
      <c r="L103" s="152">
        <f t="shared" si="2"/>
        <v>2769734.3460679133</v>
      </c>
    </row>
    <row r="104" spans="1:12" x14ac:dyDescent="0.25">
      <c r="A104" s="162" t="s">
        <v>3872</v>
      </c>
      <c r="B104" s="163">
        <f>361-'اوراق بدون ریسک'!$AD$19</f>
        <v>150</v>
      </c>
      <c r="C104" s="164">
        <f t="shared" si="1"/>
        <v>2786142.2133173472</v>
      </c>
      <c r="D104" s="164">
        <f t="shared" si="1"/>
        <v>2774721.5854559806</v>
      </c>
      <c r="E104" s="164">
        <f t="shared" si="0"/>
        <v>2763348.0825005705</v>
      </c>
      <c r="F104" s="164">
        <f t="shared" si="0"/>
        <v>2752021.508717332</v>
      </c>
      <c r="G104" s="164">
        <f t="shared" si="0"/>
        <v>2740741.6691909493</v>
      </c>
      <c r="H104" s="164">
        <f t="shared" si="0"/>
        <v>2729508.3698205738</v>
      </c>
      <c r="I104" s="164">
        <f t="shared" si="0"/>
        <v>2718321.4173171157</v>
      </c>
      <c r="J104" s="164">
        <f t="shared" si="0"/>
        <v>2707180.6191994958</v>
      </c>
      <c r="K104" s="164">
        <f t="shared" si="0"/>
        <v>2696085.7837911523</v>
      </c>
      <c r="L104" s="149">
        <f t="shared" si="2"/>
        <v>2739182.7875075787</v>
      </c>
    </row>
    <row r="105" spans="1:12" x14ac:dyDescent="0.25">
      <c r="A105" s="156" t="s">
        <v>3873</v>
      </c>
      <c r="B105" s="93">
        <f>372-'اوراق بدون ریسک'!$AD$19</f>
        <v>161</v>
      </c>
      <c r="C105" s="157">
        <f t="shared" si="1"/>
        <v>2771072.9710502489</v>
      </c>
      <c r="D105" s="157">
        <f t="shared" si="1"/>
        <v>2758882.9651122843</v>
      </c>
      <c r="E105" s="157">
        <f t="shared" si="0"/>
        <v>2746746.9148505568</v>
      </c>
      <c r="F105" s="157">
        <f t="shared" si="0"/>
        <v>2734664.5799776143</v>
      </c>
      <c r="G105" s="157">
        <f t="shared" si="0"/>
        <v>2722635.7212828142</v>
      </c>
      <c r="H105" s="157">
        <f t="shared" si="0"/>
        <v>2710660.1006268687</v>
      </c>
      <c r="I105" s="157">
        <f t="shared" si="0"/>
        <v>2698737.480937792</v>
      </c>
      <c r="J105" s="157">
        <f t="shared" si="0"/>
        <v>2686867.626205727</v>
      </c>
      <c r="K105" s="157">
        <f t="shared" si="0"/>
        <v>2675050.3014780628</v>
      </c>
      <c r="L105" s="152">
        <f t="shared" si="2"/>
        <v>2708968.227956478</v>
      </c>
    </row>
    <row r="106" spans="1:12" x14ac:dyDescent="0.25">
      <c r="A106" s="150" t="s">
        <v>3874</v>
      </c>
      <c r="B106" s="151">
        <f>391-'اوراق بدون ریسک'!$AD$19</f>
        <v>180</v>
      </c>
      <c r="C106" s="152">
        <f t="shared" si="1"/>
        <v>2745236.0005653901</v>
      </c>
      <c r="D106" s="152">
        <f t="shared" si="1"/>
        <v>2731738.0019542309</v>
      </c>
      <c r="E106" s="152">
        <f t="shared" si="0"/>
        <v>2718306.7382830931</v>
      </c>
      <c r="F106" s="152">
        <f t="shared" si="0"/>
        <v>2704941.877796487</v>
      </c>
      <c r="G106" s="152">
        <f t="shared" si="0"/>
        <v>2691643.0903973617</v>
      </c>
      <c r="H106" s="152">
        <f t="shared" si="0"/>
        <v>2678410.0476381108</v>
      </c>
      <c r="I106" s="152">
        <f t="shared" si="0"/>
        <v>2665242.4227131433</v>
      </c>
      <c r="J106" s="152">
        <f t="shared" si="0"/>
        <v>2652139.8904502285</v>
      </c>
      <c r="K106" s="152">
        <f t="shared" si="0"/>
        <v>2639102.1273021861</v>
      </c>
      <c r="L106" s="164">
        <f t="shared" si="2"/>
        <v>2685036.7202167478</v>
      </c>
    </row>
    <row r="107" spans="1:12" x14ac:dyDescent="0.25">
      <c r="A107" s="156" t="s">
        <v>3875</v>
      </c>
      <c r="B107" s="93">
        <f>407-'اوراق بدون ریسک'!$AD$19</f>
        <v>196</v>
      </c>
      <c r="C107" s="157">
        <f t="shared" si="1"/>
        <v>2723665.4906392787</v>
      </c>
      <c r="D107" s="157">
        <f t="shared" si="1"/>
        <v>2709086.3484999985</v>
      </c>
      <c r="E107" s="157">
        <f t="shared" si="1"/>
        <v>2694585.6411006693</v>
      </c>
      <c r="F107" s="157">
        <f t="shared" si="1"/>
        <v>2680162.9443375962</v>
      </c>
      <c r="G107" s="157">
        <f t="shared" si="1"/>
        <v>2665817.8364119749</v>
      </c>
      <c r="H107" s="157">
        <f t="shared" si="1"/>
        <v>2651549.8978165854</v>
      </c>
      <c r="I107" s="157">
        <f t="shared" si="1"/>
        <v>2637358.7113242093</v>
      </c>
      <c r="J107" s="157">
        <f t="shared" si="1"/>
        <v>2623243.8619747376</v>
      </c>
      <c r="K107" s="157">
        <f t="shared" si="1"/>
        <v>2609204.9370626854</v>
      </c>
      <c r="L107" s="157">
        <f t="shared" si="2"/>
        <v>2663285.2728547608</v>
      </c>
    </row>
    <row r="108" spans="1:12" x14ac:dyDescent="0.25">
      <c r="A108" s="147" t="s">
        <v>3876</v>
      </c>
      <c r="B108" s="148">
        <f>573-'اوراق بدون ریسک'!$AD$19</f>
        <v>362</v>
      </c>
      <c r="C108" s="149">
        <f t="shared" si="1"/>
        <v>2509631.0367344646</v>
      </c>
      <c r="D108" s="149">
        <f t="shared" si="1"/>
        <v>2484876.5023980802</v>
      </c>
      <c r="E108" s="149">
        <f t="shared" si="1"/>
        <v>2460366.8100269623</v>
      </c>
      <c r="F108" s="149">
        <f t="shared" si="1"/>
        <v>2436099.5313349213</v>
      </c>
      <c r="G108" s="149">
        <f t="shared" si="1"/>
        <v>2412072.2621847983</v>
      </c>
      <c r="H108" s="149">
        <f t="shared" si="1"/>
        <v>2388282.6223464594</v>
      </c>
      <c r="I108" s="149">
        <f t="shared" si="1"/>
        <v>2364728.255259952</v>
      </c>
      <c r="J108" s="149">
        <f t="shared" si="1"/>
        <v>2341406.8277987717</v>
      </c>
      <c r="K108" s="149">
        <f t="shared" si="1"/>
        <v>2318316.030036015</v>
      </c>
      <c r="L108" s="152">
        <f t="shared" si="2"/>
        <v>2626128.8113388205</v>
      </c>
    </row>
    <row r="109" spans="1:12" x14ac:dyDescent="0.25">
      <c r="A109" s="156" t="s">
        <v>3877</v>
      </c>
      <c r="B109" s="93">
        <f>579-'اوراق بدون ریسک'!$AD$19</f>
        <v>368</v>
      </c>
      <c r="C109" s="157">
        <f t="shared" si="1"/>
        <v>2502218.0793707324</v>
      </c>
      <c r="D109" s="157">
        <f t="shared" si="1"/>
        <v>2477129.6385238366</v>
      </c>
      <c r="E109" s="157">
        <f t="shared" si="1"/>
        <v>2452293.4231190998</v>
      </c>
      <c r="F109" s="157">
        <f t="shared" si="1"/>
        <v>2427706.8906174889</v>
      </c>
      <c r="G109" s="157">
        <f t="shared" si="1"/>
        <v>2403367.5241787531</v>
      </c>
      <c r="H109" s="157">
        <f t="shared" si="1"/>
        <v>2379272.8323997725</v>
      </c>
      <c r="I109" s="157">
        <f t="shared" si="1"/>
        <v>2355420.349058344</v>
      </c>
      <c r="J109" s="157">
        <f t="shared" si="1"/>
        <v>2331807.6328572687</v>
      </c>
      <c r="K109" s="157">
        <f t="shared" si="1"/>
        <v>2308432.2671715906</v>
      </c>
      <c r="L109" s="157">
        <f t="shared" si="2"/>
        <v>2595241.5261249859</v>
      </c>
    </row>
    <row r="110" spans="1:12" x14ac:dyDescent="0.25">
      <c r="A110" s="150" t="s">
        <v>3878</v>
      </c>
      <c r="B110" s="151">
        <f>753-'اوراق بدون ریسک'!$AD$19</f>
        <v>542</v>
      </c>
      <c r="C110" s="152">
        <f t="shared" si="1"/>
        <v>2296509.8233932317</v>
      </c>
      <c r="D110" s="152">
        <f t="shared" si="1"/>
        <v>2262677.190587983</v>
      </c>
      <c r="E110" s="152">
        <f t="shared" si="1"/>
        <v>2229343.8927814569</v>
      </c>
      <c r="F110" s="152">
        <f t="shared" si="1"/>
        <v>2196502.5469294088</v>
      </c>
      <c r="G110" s="152">
        <f t="shared" si="1"/>
        <v>2164145.8793496159</v>
      </c>
      <c r="H110" s="152">
        <f t="shared" si="1"/>
        <v>2132266.7240974172</v>
      </c>
      <c r="I110" s="152">
        <f t="shared" si="1"/>
        <v>2100858.0213690866</v>
      </c>
      <c r="J110" s="152">
        <f t="shared" si="1"/>
        <v>2069912.8159258838</v>
      </c>
      <c r="K110" s="152">
        <f t="shared" si="1"/>
        <v>2039424.2555422683</v>
      </c>
      <c r="L110" s="149">
        <f t="shared" si="2"/>
        <v>2295453.5750132524</v>
      </c>
    </row>
    <row r="111" spans="1:12" x14ac:dyDescent="0.25">
      <c r="A111" s="162" t="s">
        <v>3879</v>
      </c>
      <c r="B111" s="163">
        <f>757-'اوراق بدون ریسک'!$AD$19</f>
        <v>546</v>
      </c>
      <c r="C111" s="164">
        <f t="shared" si="1"/>
        <v>2291985.3013767293</v>
      </c>
      <c r="D111" s="164">
        <f t="shared" si="1"/>
        <v>2257971.9875418288</v>
      </c>
      <c r="E111" s="164">
        <f t="shared" si="1"/>
        <v>2224464.3457336393</v>
      </c>
      <c r="F111" s="164">
        <f t="shared" si="1"/>
        <v>2191454.8446455728</v>
      </c>
      <c r="G111" s="164">
        <f t="shared" si="1"/>
        <v>2158936.0653418382</v>
      </c>
      <c r="H111" s="164">
        <f t="shared" si="1"/>
        <v>2126900.6995762028</v>
      </c>
      <c r="I111" s="164">
        <f t="shared" si="1"/>
        <v>2095341.5481396252</v>
      </c>
      <c r="J111" s="164">
        <f t="shared" si="1"/>
        <v>2064251.5192295674</v>
      </c>
      <c r="K111" s="164">
        <f t="shared" si="1"/>
        <v>2033623.6268444511</v>
      </c>
      <c r="L111" s="157">
        <f t="shared" si="2"/>
        <v>2285291.8597987657</v>
      </c>
    </row>
    <row r="112" spans="1:12" x14ac:dyDescent="0.25">
      <c r="A112" s="147" t="s">
        <v>3880</v>
      </c>
      <c r="B112" s="148">
        <f>774-'اوراق بدون ریسک'!$AD$19</f>
        <v>563</v>
      </c>
      <c r="C112" s="149">
        <f t="shared" si="1"/>
        <v>2272855.3186218836</v>
      </c>
      <c r="D112" s="149">
        <f t="shared" si="1"/>
        <v>2238083.7861742401</v>
      </c>
      <c r="E112" s="149">
        <f t="shared" si="1"/>
        <v>2203845.1402835548</v>
      </c>
      <c r="F112" s="149">
        <f t="shared" si="1"/>
        <v>2170131.2000094731</v>
      </c>
      <c r="G112" s="149">
        <f t="shared" si="1"/>
        <v>2136933.9102257872</v>
      </c>
      <c r="H112" s="149">
        <f t="shared" si="1"/>
        <v>2104245.3396805418</v>
      </c>
      <c r="I112" s="149">
        <f t="shared" si="1"/>
        <v>2072057.6790898603</v>
      </c>
      <c r="J112" s="149">
        <f t="shared" si="1"/>
        <v>2040363.2392580512</v>
      </c>
      <c r="K112" s="149">
        <f t="shared" si="1"/>
        <v>2009154.4492274751</v>
      </c>
      <c r="L112" s="152">
        <f t="shared" si="2"/>
        <v>2009385.5894776667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2003450.9892026505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1978423.8544574669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4267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4282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4208</v>
      </c>
      <c r="M20" t="s">
        <v>4035</v>
      </c>
      <c r="N20" t="s">
        <v>4209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4281</v>
      </c>
      <c r="B191" s="38">
        <v>-5000</v>
      </c>
      <c r="C191" s="73" t="s">
        <v>4282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G25" zoomScaleNormal="100" workbookViewId="0">
      <selection activeCell="M55" sqref="M5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4197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4203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4198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4210</v>
      </c>
      <c r="AR16" s="99" t="s">
        <v>4211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4210</v>
      </c>
      <c r="AR17" s="99" t="s">
        <v>4212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4217</v>
      </c>
      <c r="AR18" s="99" t="s">
        <v>4218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-مهر97!D72</f>
        <v>49106586</v>
      </c>
      <c r="M19" s="171" t="s">
        <v>4207</v>
      </c>
      <c r="N19" s="113">
        <f>O19*P19</f>
        <v>9509544</v>
      </c>
      <c r="O19" s="99">
        <v>48028</v>
      </c>
      <c r="P19" s="99">
        <f>P33</f>
        <v>198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4269</v>
      </c>
      <c r="AR19" s="99" t="s">
        <v>4270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4299</v>
      </c>
      <c r="N20" s="113">
        <f>O20*P20</f>
        <v>57420</v>
      </c>
      <c r="O20" s="99">
        <v>174</v>
      </c>
      <c r="P20" s="99">
        <f>P35</f>
        <v>330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195</v>
      </c>
      <c r="AK20" s="113">
        <f>AH20*AJ20</f>
        <v>3510000000</v>
      </c>
      <c r="AL20" s="99"/>
      <c r="AN20" s="96"/>
      <c r="AO20" s="99"/>
      <c r="AP20" s="172"/>
      <c r="AQ20" s="99"/>
      <c r="AR20" s="99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L45</f>
        <v>292679788</v>
      </c>
      <c r="G21" s="29">
        <f t="shared" si="0"/>
        <v>-30679788</v>
      </c>
      <c r="H21" s="11" t="s">
        <v>4233</v>
      </c>
      <c r="J21" s="25"/>
      <c r="K21" s="171" t="s">
        <v>456</v>
      </c>
      <c r="L21" s="117">
        <v>585000</v>
      </c>
      <c r="M21" s="171" t="s">
        <v>4316</v>
      </c>
      <c r="N21" s="113">
        <f>O21*P21</f>
        <v>54250</v>
      </c>
      <c r="O21" s="99">
        <v>155</v>
      </c>
      <c r="P21" s="99">
        <f>P36</f>
        <v>350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194</v>
      </c>
      <c r="AK21" s="113">
        <f t="shared" ref="AK21:AK79" si="5">AH21*AJ21</f>
        <v>485000000</v>
      </c>
      <c r="AL21" s="99"/>
      <c r="AN21" s="96"/>
      <c r="AO21" s="99"/>
      <c r="AP21" s="172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4420000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193</v>
      </c>
      <c r="AK22" s="113">
        <f t="shared" si="5"/>
        <v>1544000000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-49106586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192</v>
      </c>
      <c r="AK23" s="113">
        <f t="shared" si="5"/>
        <v>-15273984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191</v>
      </c>
      <c r="AK24" s="113">
        <f t="shared" si="5"/>
        <v>31610500</v>
      </c>
      <c r="AL24" s="99"/>
      <c r="AN24" s="96"/>
      <c r="AO24" s="99"/>
      <c r="AP24" s="95">
        <f>SUM(AP7:AP23)</f>
        <v>34863546</v>
      </c>
      <c r="AQ24" s="99"/>
      <c r="AR24" s="183" t="s">
        <v>4271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287300000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179</v>
      </c>
      <c r="AK25" s="113">
        <f t="shared" si="5"/>
        <v>-5160628533</v>
      </c>
      <c r="AL25" s="99"/>
      <c r="AN25" s="96"/>
      <c r="AO25" s="99"/>
      <c r="AP25" s="99" t="s">
        <v>6</v>
      </c>
      <c r="AQ25" s="99"/>
      <c r="AR25" s="99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/>
      <c r="N26" s="113"/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173</v>
      </c>
      <c r="AK26" s="113">
        <f t="shared" si="5"/>
        <v>3200500000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75*R22</f>
        <v>331500000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172</v>
      </c>
      <c r="AK27" s="113">
        <f t="shared" si="5"/>
        <v>-3190600000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4307</v>
      </c>
      <c r="L28" s="117">
        <v>65000</v>
      </c>
      <c r="M28" s="171" t="s">
        <v>4214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171</v>
      </c>
      <c r="AK28" s="113">
        <f t="shared" si="5"/>
        <v>-11108331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4318</v>
      </c>
      <c r="L29" s="117">
        <v>-200000</v>
      </c>
      <c r="M29" s="171" t="s">
        <v>4215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166</v>
      </c>
      <c r="AK29" s="113">
        <f t="shared" si="5"/>
        <v>1062400000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2089982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165</v>
      </c>
      <c r="AK30" s="113">
        <f t="shared" si="5"/>
        <v>-28050000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160</v>
      </c>
      <c r="AK31" s="113">
        <f t="shared" si="5"/>
        <v>-1008000000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234441844</v>
      </c>
      <c r="R32" s="171" t="s">
        <v>4187</v>
      </c>
      <c r="S32" s="171">
        <v>25</v>
      </c>
      <c r="T32" s="171" t="s">
        <v>4304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159</v>
      </c>
      <c r="AK32" s="113">
        <f t="shared" si="5"/>
        <v>-8270385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>O33*P33</f>
        <v>250208244</v>
      </c>
      <c r="O33" s="99">
        <v>1263678</v>
      </c>
      <c r="P33" s="99">
        <v>198</v>
      </c>
      <c r="Q33" s="172">
        <v>3759803</v>
      </c>
      <c r="R33" s="171" t="s">
        <v>4292</v>
      </c>
      <c r="S33" s="171">
        <f>S32-21</f>
        <v>4</v>
      </c>
      <c r="T33" s="171" t="s">
        <v>4303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143</v>
      </c>
      <c r="AK33" s="113">
        <f t="shared" si="5"/>
        <v>2862488200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4291</v>
      </c>
      <c r="N34" s="113">
        <f>O34*P34</f>
        <v>3893868</v>
      </c>
      <c r="O34" s="99">
        <v>19666</v>
      </c>
      <c r="P34" s="99">
        <f>P33</f>
        <v>198</v>
      </c>
      <c r="Q34" s="172">
        <v>57680</v>
      </c>
      <c r="R34" s="171" t="s">
        <v>4296</v>
      </c>
      <c r="S34" s="171">
        <f>S33-2</f>
        <v>2</v>
      </c>
      <c r="T34" s="171" t="s">
        <v>4302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143</v>
      </c>
      <c r="AK34" s="113">
        <f t="shared" si="5"/>
        <v>145068638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4299</v>
      </c>
      <c r="N35" s="113">
        <f>O35*P35</f>
        <v>57420</v>
      </c>
      <c r="O35" s="99">
        <v>174</v>
      </c>
      <c r="P35" s="99">
        <v>330</v>
      </c>
      <c r="Q35" s="172">
        <v>8707214</v>
      </c>
      <c r="R35" s="171" t="s">
        <v>3936</v>
      </c>
      <c r="S35" s="171">
        <f>S34-2</f>
        <v>0</v>
      </c>
      <c r="T35" s="171" t="s">
        <v>4309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131</v>
      </c>
      <c r="AK35" s="113">
        <f t="shared" si="5"/>
        <v>47160000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 t="s">
        <v>4316</v>
      </c>
      <c r="N36" s="113">
        <f>O36*P36</f>
        <v>54250</v>
      </c>
      <c r="O36" s="188">
        <v>155</v>
      </c>
      <c r="P36" s="99">
        <v>350</v>
      </c>
      <c r="Q36" s="172">
        <v>54501</v>
      </c>
      <c r="R36" s="171" t="s">
        <v>4315</v>
      </c>
      <c r="S36" s="171">
        <f>S35</f>
        <v>0</v>
      </c>
      <c r="T36" s="171" t="s">
        <v>4314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129</v>
      </c>
      <c r="AK36" s="113">
        <f t="shared" si="5"/>
        <v>-45150000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/>
      <c r="N37" s="99"/>
      <c r="Q37" s="172"/>
      <c r="R37" s="171"/>
      <c r="S37" s="171"/>
      <c r="T37" s="171"/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129</v>
      </c>
      <c r="AK37" s="113">
        <f t="shared" si="5"/>
        <v>129000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99"/>
      <c r="L38" s="99"/>
      <c r="M38" s="73" t="s">
        <v>4277</v>
      </c>
      <c r="N38" s="117">
        <v>-915000</v>
      </c>
      <c r="Q38" s="172"/>
      <c r="R38" s="171"/>
      <c r="S38" s="171"/>
      <c r="T38" s="171" t="s">
        <v>25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128</v>
      </c>
      <c r="AK38" s="113">
        <f t="shared" si="5"/>
        <v>4302080000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/>
      <c r="N39" s="117"/>
      <c r="O39" s="96" t="s">
        <v>25</v>
      </c>
      <c r="Q39" s="113">
        <f>SUM(N31:N36)-SUM(Q32:Q38)</f>
        <v>7192740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124</v>
      </c>
      <c r="AK39" s="113">
        <f t="shared" si="5"/>
        <v>-1934400000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171" t="s">
        <v>1156</v>
      </c>
      <c r="N40" s="117">
        <v>14908</v>
      </c>
      <c r="O40" s="96" t="s">
        <v>25</v>
      </c>
      <c r="P40" t="s">
        <v>25</v>
      </c>
      <c r="R40" t="s">
        <v>25</v>
      </c>
      <c r="T40" t="s">
        <v>25</v>
      </c>
      <c r="U40" s="96"/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121</v>
      </c>
      <c r="AK40" s="113">
        <f t="shared" si="5"/>
        <v>907500000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1" t="s">
        <v>1157</v>
      </c>
      <c r="N41" s="117">
        <v>5282</v>
      </c>
      <c r="O41" s="96"/>
      <c r="Q41" t="s">
        <v>25</v>
      </c>
      <c r="R41" t="s">
        <v>25</v>
      </c>
      <c r="T41" t="s">
        <v>25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117</v>
      </c>
      <c r="AK41" s="113">
        <f t="shared" si="5"/>
        <v>-11466000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171"/>
      <c r="L42" s="117"/>
      <c r="M42" s="171" t="s">
        <v>4195</v>
      </c>
      <c r="N42" s="113">
        <f>-O42*P33</f>
        <v>-36141336</v>
      </c>
      <c r="O42" s="99">
        <v>182532</v>
      </c>
      <c r="P42" s="99">
        <f>P33</f>
        <v>198</v>
      </c>
      <c r="Q42" t="s">
        <v>25</v>
      </c>
      <c r="S42" t="s">
        <v>25</v>
      </c>
      <c r="T42" t="s">
        <v>951</v>
      </c>
      <c r="U42">
        <v>6.3E-3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116</v>
      </c>
      <c r="AK42" s="113">
        <f t="shared" si="5"/>
        <v>-3016000000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1" t="s">
        <v>25</v>
      </c>
      <c r="L43" s="117"/>
      <c r="M43" s="171" t="s">
        <v>4196</v>
      </c>
      <c r="N43" s="113">
        <f>-O43*P43</f>
        <v>-18294804</v>
      </c>
      <c r="O43" s="99">
        <v>92398</v>
      </c>
      <c r="P43" s="99">
        <f>P42</f>
        <v>198</v>
      </c>
      <c r="Q43" s="114">
        <f>O33+O34+O19-O42-O43</f>
        <v>1056442</v>
      </c>
      <c r="R43" s="113">
        <f>Q43*P33+N19</f>
        <v>218685060</v>
      </c>
      <c r="S43" t="s">
        <v>25</v>
      </c>
      <c r="T43" t="s">
        <v>61</v>
      </c>
      <c r="U43">
        <v>4.8999999999999998E-3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116</v>
      </c>
      <c r="AK43" s="113">
        <f t="shared" si="5"/>
        <v>2900000000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1"/>
      <c r="L44" s="117"/>
      <c r="M44" s="171"/>
      <c r="N44" s="113"/>
      <c r="O44" s="96"/>
      <c r="P44" s="96"/>
      <c r="Q44" t="s">
        <v>4312</v>
      </c>
      <c r="R44" t="s">
        <v>4308</v>
      </c>
      <c r="T44" t="s">
        <v>6</v>
      </c>
      <c r="U44">
        <f>U42+U43</f>
        <v>1.12E-2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115</v>
      </c>
      <c r="AK44" s="113">
        <f t="shared" si="5"/>
        <v>12650000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1" t="s">
        <v>598</v>
      </c>
      <c r="L45" s="113">
        <f>SUM(L16:L38)</f>
        <v>292679788</v>
      </c>
      <c r="M45" s="171"/>
      <c r="N45" s="113">
        <f>SUM(N16:N44)</f>
        <v>419839492</v>
      </c>
      <c r="O45" t="s">
        <v>25</v>
      </c>
      <c r="R45" t="s">
        <v>25</v>
      </c>
      <c r="T45" t="s">
        <v>25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114</v>
      </c>
      <c r="AK45" s="113">
        <f t="shared" si="5"/>
        <v>43320000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1" t="s">
        <v>599</v>
      </c>
      <c r="L46" s="113">
        <f>L16+L17+L21</f>
        <v>608202</v>
      </c>
      <c r="M46" s="171"/>
      <c r="N46" s="113">
        <f>N16+N17+N24</f>
        <v>-7383645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107</v>
      </c>
      <c r="AK46" s="113">
        <f t="shared" si="5"/>
        <v>48150000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56" t="s">
        <v>716</v>
      </c>
      <c r="L47" s="1">
        <f>L45+N7</f>
        <v>362679788</v>
      </c>
      <c r="M47" s="113"/>
      <c r="N47" s="171"/>
      <c r="O47" s="22"/>
      <c r="P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101</v>
      </c>
      <c r="AK47" s="113">
        <f t="shared" si="5"/>
        <v>282800000</v>
      </c>
      <c r="AL47" s="99"/>
      <c r="AO47" s="99">
        <v>1</v>
      </c>
      <c r="AP47" s="172">
        <v>5000000</v>
      </c>
      <c r="AQ47" s="99" t="s">
        <v>4161</v>
      </c>
      <c r="AR47" s="99" t="s">
        <v>4199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M48" t="s">
        <v>4319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100</v>
      </c>
      <c r="AK48" s="113">
        <f t="shared" si="5"/>
        <v>-150000000</v>
      </c>
      <c r="AL48" s="99"/>
      <c r="AO48" s="99">
        <v>2</v>
      </c>
      <c r="AP48" s="172">
        <v>13000000</v>
      </c>
      <c r="AQ48" s="99" t="s">
        <v>4172</v>
      </c>
      <c r="AR48" s="99" t="s">
        <v>4200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s="25" t="s">
        <v>4118</v>
      </c>
      <c r="O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100</v>
      </c>
      <c r="AK49" s="113">
        <f t="shared" si="5"/>
        <v>305000000</v>
      </c>
      <c r="AL49" s="99"/>
      <c r="AO49" s="99">
        <v>3</v>
      </c>
      <c r="AP49" s="172">
        <v>-168093</v>
      </c>
      <c r="AQ49" s="99" t="s">
        <v>4187</v>
      </c>
      <c r="AR49" s="99" t="s">
        <v>4201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4086</v>
      </c>
      <c r="P50" t="s">
        <v>25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97</v>
      </c>
      <c r="AK50" s="113">
        <f t="shared" si="5"/>
        <v>-805062364</v>
      </c>
      <c r="AL50" s="99"/>
      <c r="AO50" s="99"/>
      <c r="AP50" s="172"/>
      <c r="AQ50" s="99"/>
      <c r="AR50" s="99"/>
    </row>
    <row r="51" spans="1:51" ht="30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180" t="s">
        <v>4122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95</v>
      </c>
      <c r="AK51" s="113">
        <f t="shared" si="5"/>
        <v>475000000</v>
      </c>
      <c r="AL51" s="99"/>
      <c r="AO51" s="99"/>
      <c r="AP51" s="172"/>
      <c r="AQ51" s="99"/>
      <c r="AR51" s="99"/>
    </row>
    <row r="52" spans="1:51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K52" s="3"/>
      <c r="L52" s="11" t="s">
        <v>304</v>
      </c>
      <c r="M52" s="122"/>
      <c r="N52" s="96"/>
      <c r="P52" s="115"/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81</v>
      </c>
      <c r="AK52" s="113">
        <f t="shared" si="5"/>
        <v>-7290000</v>
      </c>
      <c r="AL52" s="99"/>
      <c r="AO52" s="99"/>
      <c r="AP52" s="172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1" t="s">
        <v>305</v>
      </c>
      <c r="L53" s="1">
        <v>70000</v>
      </c>
      <c r="M53" s="122"/>
      <c r="N53" s="96" t="s">
        <v>25</v>
      </c>
      <c r="P53" s="115"/>
      <c r="Q53" s="115"/>
      <c r="R53" s="115"/>
      <c r="S53" s="115"/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80</v>
      </c>
      <c r="AK53" s="113">
        <f t="shared" si="5"/>
        <v>448000000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321</v>
      </c>
      <c r="L54" s="1">
        <v>100000</v>
      </c>
      <c r="M54" s="122"/>
      <c r="P54" s="115"/>
      <c r="Q54" s="189"/>
      <c r="R54" s="189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76</v>
      </c>
      <c r="AK54" s="113">
        <f t="shared" si="5"/>
        <v>57000000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306</v>
      </c>
      <c r="L55" s="1">
        <v>80000</v>
      </c>
      <c r="M55" s="122"/>
      <c r="P55" s="115"/>
      <c r="Q55" s="189"/>
      <c r="R55" s="189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74</v>
      </c>
      <c r="AK55" s="173">
        <f t="shared" si="5"/>
        <v>-313908000</v>
      </c>
      <c r="AL55" s="174" t="s">
        <v>4068</v>
      </c>
      <c r="AO55" s="99"/>
      <c r="AP55" s="172">
        <f>SUM(AP47:AP53)</f>
        <v>17831907</v>
      </c>
      <c r="AQ55" s="99"/>
      <c r="AR55" s="182" t="s">
        <v>4205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31" t="s">
        <v>307</v>
      </c>
      <c r="L56" s="1">
        <v>150000</v>
      </c>
      <c r="M56" s="96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72</v>
      </c>
      <c r="AK56" s="113">
        <f t="shared" si="5"/>
        <v>295200000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308</v>
      </c>
      <c r="L57" s="1">
        <v>300000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72</v>
      </c>
      <c r="AK57" s="113">
        <f t="shared" si="5"/>
        <v>295200000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309</v>
      </c>
      <c r="L58" s="1">
        <v>100000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71</v>
      </c>
      <c r="AK58" s="113">
        <f t="shared" si="5"/>
        <v>56090000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310</v>
      </c>
      <c r="L59" s="1">
        <v>200000</v>
      </c>
      <c r="M59" s="96"/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56</v>
      </c>
      <c r="AK59" s="175">
        <f t="shared" si="5"/>
        <v>-216440000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18" t="s">
        <v>311</v>
      </c>
      <c r="L60" s="18">
        <v>300000</v>
      </c>
      <c r="M60" s="96"/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50</v>
      </c>
      <c r="AK60" s="113">
        <f t="shared" si="5"/>
        <v>940000000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32" t="s">
        <v>312</v>
      </c>
      <c r="L61" s="1">
        <v>200000</v>
      </c>
      <c r="M61" s="96"/>
      <c r="N61" s="96"/>
      <c r="O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47</v>
      </c>
      <c r="AK61" s="113">
        <f t="shared" si="5"/>
        <v>23500000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313</v>
      </c>
      <c r="L62" s="1">
        <v>20000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46</v>
      </c>
      <c r="AK62" s="113">
        <f t="shared" si="5"/>
        <v>9200000</v>
      </c>
      <c r="AL62" s="20"/>
      <c r="AT62" s="99" t="s">
        <v>1136</v>
      </c>
      <c r="AU62" s="99" t="s">
        <v>4272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315</v>
      </c>
      <c r="L63" s="1">
        <v>50000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43</v>
      </c>
      <c r="AK63" s="113">
        <f t="shared" si="5"/>
        <v>43000000</v>
      </c>
      <c r="AL63" s="20"/>
      <c r="AT63" s="99">
        <v>1</v>
      </c>
      <c r="AU63" s="172" t="s">
        <v>4273</v>
      </c>
      <c r="AV63" s="99">
        <v>18290</v>
      </c>
      <c r="AW63" s="99" t="s">
        <v>4187</v>
      </c>
      <c r="AX63" s="99" t="s">
        <v>4274</v>
      </c>
      <c r="AY63" s="172">
        <v>3465500</v>
      </c>
    </row>
    <row r="64" spans="1:51" x14ac:dyDescent="0.25">
      <c r="E64" s="26"/>
      <c r="K64" s="32" t="s">
        <v>316</v>
      </c>
      <c r="L64" s="1">
        <v>90000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40</v>
      </c>
      <c r="AK64" s="113">
        <f t="shared" si="5"/>
        <v>52000000</v>
      </c>
      <c r="AL64" s="20"/>
      <c r="AT64" s="99">
        <v>2</v>
      </c>
      <c r="AU64" s="172" t="s">
        <v>4273</v>
      </c>
      <c r="AV64" s="99">
        <v>24813</v>
      </c>
      <c r="AW64" s="99" t="s">
        <v>4267</v>
      </c>
      <c r="AX64" s="99" t="s">
        <v>4275</v>
      </c>
      <c r="AY64" s="172">
        <v>4995629</v>
      </c>
    </row>
    <row r="65" spans="1:51" x14ac:dyDescent="0.25">
      <c r="K65" s="32" t="s">
        <v>317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79" si="9">AJ66+AI65</f>
        <v>40</v>
      </c>
      <c r="AK65" s="113">
        <f t="shared" si="5"/>
        <v>39800000</v>
      </c>
      <c r="AL65" s="20"/>
      <c r="AT65" s="99">
        <v>3</v>
      </c>
      <c r="AU65" s="172" t="s">
        <v>4273</v>
      </c>
      <c r="AV65" s="99">
        <v>26189</v>
      </c>
      <c r="AW65" s="99" t="s">
        <v>4292</v>
      </c>
      <c r="AX65" s="99" t="s">
        <v>4293</v>
      </c>
      <c r="AY65" s="172">
        <v>5006890</v>
      </c>
    </row>
    <row r="66" spans="1:51" x14ac:dyDescent="0.25">
      <c r="K66" s="32" t="s">
        <v>327</v>
      </c>
      <c r="L66" s="1">
        <v>150000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38</v>
      </c>
      <c r="AK66" s="113">
        <f t="shared" si="5"/>
        <v>494000000</v>
      </c>
      <c r="AL66" s="20"/>
      <c r="AT66" s="186"/>
      <c r="AU66" s="187" t="s">
        <v>4276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318</v>
      </c>
      <c r="L67" s="1">
        <v>15000</v>
      </c>
      <c r="N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36</v>
      </c>
      <c r="AK67" s="113">
        <f t="shared" si="5"/>
        <v>-111600000</v>
      </c>
      <c r="AL67" s="20"/>
      <c r="AT67" s="186"/>
      <c r="AU67" s="187" t="s">
        <v>4273</v>
      </c>
      <c r="AV67" s="186">
        <v>19666</v>
      </c>
      <c r="AW67" s="186" t="s">
        <v>4292</v>
      </c>
      <c r="AX67" s="186" t="s">
        <v>4294</v>
      </c>
      <c r="AY67" s="187"/>
    </row>
    <row r="68" spans="1:51" x14ac:dyDescent="0.25">
      <c r="F68" t="s">
        <v>4109</v>
      </c>
      <c r="G68" t="s">
        <v>4104</v>
      </c>
      <c r="K68" s="32" t="s">
        <v>319</v>
      </c>
      <c r="L68" s="1">
        <v>20000</v>
      </c>
      <c r="N68" s="96"/>
      <c r="P68" s="115"/>
      <c r="Q68" s="115"/>
      <c r="R68" s="115"/>
      <c r="S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33</v>
      </c>
      <c r="AK68" s="113">
        <f t="shared" si="5"/>
        <v>1506120000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320</v>
      </c>
      <c r="L69" s="1">
        <v>40000</v>
      </c>
      <c r="N69" s="96"/>
      <c r="P69" s="115"/>
      <c r="Q69" s="115"/>
      <c r="R69" s="115"/>
      <c r="S69" s="115"/>
      <c r="T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32</v>
      </c>
      <c r="AK69" s="113">
        <f t="shared" si="5"/>
        <v>1072000000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322</v>
      </c>
      <c r="L70" s="1">
        <v>150000</v>
      </c>
      <c r="N70" s="96"/>
      <c r="P70" s="115"/>
      <c r="Q70" s="55"/>
      <c r="R70" s="190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31</v>
      </c>
      <c r="AK70" s="117">
        <f t="shared" si="5"/>
        <v>372000000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324</v>
      </c>
      <c r="L71" s="1">
        <v>75000</v>
      </c>
      <c r="P71" s="115"/>
      <c r="Q71" s="55"/>
      <c r="R71" s="190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30</v>
      </c>
      <c r="AK71" s="117">
        <f t="shared" si="5"/>
        <v>465000000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314</v>
      </c>
      <c r="L72" s="1">
        <v>140000</v>
      </c>
      <c r="P72" s="115"/>
      <c r="Q72" s="26"/>
      <c r="R72" s="190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26</v>
      </c>
      <c r="AK72" s="117">
        <f t="shared" si="5"/>
        <v>3900000</v>
      </c>
      <c r="AL72" s="20"/>
    </row>
    <row r="73" spans="1:51" x14ac:dyDescent="0.25">
      <c r="G73" t="s">
        <v>4111</v>
      </c>
      <c r="K73" s="2" t="s">
        <v>478</v>
      </c>
      <c r="L73" s="3">
        <v>1083333</v>
      </c>
      <c r="P73" s="115"/>
      <c r="Q73" s="55"/>
      <c r="R73" s="190"/>
      <c r="S73" s="122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9"/>
        <v>25</v>
      </c>
      <c r="AK73" s="185">
        <f t="shared" si="5"/>
        <v>725000000</v>
      </c>
      <c r="AL73" s="184" t="s">
        <v>4206</v>
      </c>
    </row>
    <row r="74" spans="1:51" x14ac:dyDescent="0.25">
      <c r="K74" s="2"/>
      <c r="L74" s="3"/>
      <c r="P74" s="128"/>
      <c r="Q74" s="55"/>
      <c r="R74" s="190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4236</v>
      </c>
      <c r="AH74" s="117">
        <v>-130000</v>
      </c>
      <c r="AI74" s="20">
        <v>7</v>
      </c>
      <c r="AJ74" s="99">
        <f t="shared" si="9"/>
        <v>10</v>
      </c>
      <c r="AK74" s="117">
        <f t="shared" si="5"/>
        <v>-1300000</v>
      </c>
      <c r="AL74" s="20" t="s">
        <v>4238</v>
      </c>
    </row>
    <row r="75" spans="1:51" x14ac:dyDescent="0.25">
      <c r="K75" s="2"/>
      <c r="L75" s="3"/>
      <c r="P75" s="128"/>
      <c r="Q75" s="122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4296</v>
      </c>
      <c r="AH75" s="117">
        <v>232000</v>
      </c>
      <c r="AI75" s="20">
        <v>2</v>
      </c>
      <c r="AJ75" s="99">
        <f t="shared" si="9"/>
        <v>3</v>
      </c>
      <c r="AK75" s="117">
        <f>AH75*AJ75</f>
        <v>696000</v>
      </c>
      <c r="AL75" s="20" t="s">
        <v>4298</v>
      </c>
    </row>
    <row r="76" spans="1:51" x14ac:dyDescent="0.25">
      <c r="K76" s="2" t="s">
        <v>6</v>
      </c>
      <c r="L76" s="3">
        <f>SUM(L53:L74)</f>
        <v>3383333</v>
      </c>
      <c r="P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4315</v>
      </c>
      <c r="AH76" s="117">
        <v>-170000</v>
      </c>
      <c r="AI76" s="20">
        <v>1</v>
      </c>
      <c r="AJ76" s="99">
        <f t="shared" si="9"/>
        <v>1</v>
      </c>
      <c r="AK76" s="117">
        <f t="shared" si="5"/>
        <v>-170000</v>
      </c>
      <c r="AL76" s="20"/>
    </row>
    <row r="77" spans="1:51" x14ac:dyDescent="0.25">
      <c r="K77" s="2" t="s">
        <v>328</v>
      </c>
      <c r="L77" s="3">
        <f>L76/30</f>
        <v>112777.76666666666</v>
      </c>
      <c r="W77" s="115"/>
      <c r="X77" s="128"/>
      <c r="Y77" s="115"/>
      <c r="Z77" s="115"/>
      <c r="AA77" s="115"/>
      <c r="AB77" s="128"/>
      <c r="AC77" s="115"/>
      <c r="AD77" s="115"/>
      <c r="AF77" s="20"/>
      <c r="AG77" s="117"/>
      <c r="AH77" s="117"/>
      <c r="AI77" s="20"/>
      <c r="AJ77" s="99">
        <f t="shared" si="9"/>
        <v>0</v>
      </c>
      <c r="AK77" s="117">
        <f t="shared" si="5"/>
        <v>0</v>
      </c>
      <c r="AL77" s="20"/>
    </row>
    <row r="78" spans="1:51" x14ac:dyDescent="0.25">
      <c r="O78" s="115"/>
      <c r="Q78" s="22"/>
      <c r="W78" s="115"/>
      <c r="X78" s="115"/>
      <c r="Y78" s="115"/>
      <c r="Z78" s="115"/>
      <c r="AA78" s="115"/>
      <c r="AB78" s="115"/>
      <c r="AC78" s="115"/>
      <c r="AD78" s="115"/>
      <c r="AF78" s="99"/>
      <c r="AG78" s="113"/>
      <c r="AH78" s="113"/>
      <c r="AI78" s="99"/>
      <c r="AJ78" s="99">
        <f t="shared" si="9"/>
        <v>0</v>
      </c>
      <c r="AK78" s="117">
        <f t="shared" si="5"/>
        <v>0</v>
      </c>
      <c r="AL78" s="99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99"/>
      <c r="AG79" s="113"/>
      <c r="AH79" s="113"/>
      <c r="AI79" s="99"/>
      <c r="AJ79" s="99">
        <f t="shared" si="9"/>
        <v>0</v>
      </c>
      <c r="AK79" s="117">
        <f t="shared" si="5"/>
        <v>0</v>
      </c>
      <c r="AL79" s="99"/>
    </row>
    <row r="80" spans="1:51" x14ac:dyDescent="0.25">
      <c r="W80" s="115"/>
      <c r="X80" s="115"/>
      <c r="Y80" s="115"/>
      <c r="AC80" s="115"/>
      <c r="AD80" s="115"/>
      <c r="AF80" s="99"/>
      <c r="AG80" s="99"/>
      <c r="AH80" s="95">
        <f>SUM(AH20:AH78)</f>
        <v>222523899</v>
      </c>
      <c r="AI80" s="99"/>
      <c r="AJ80" s="99"/>
      <c r="AK80" s="95">
        <f>SUM(AK20:AK79)</f>
        <v>13027844741</v>
      </c>
      <c r="AL80" s="95">
        <f>AK80*AL83/31</f>
        <v>8405061.1232258063</v>
      </c>
    </row>
    <row r="81" spans="11:50" x14ac:dyDescent="0.25">
      <c r="X81" s="115"/>
      <c r="Y81" s="115"/>
      <c r="AC81" s="115"/>
      <c r="AD81" s="115"/>
      <c r="AF81" s="99"/>
      <c r="AG81" s="99"/>
      <c r="AH81" s="99" t="s">
        <v>4065</v>
      </c>
      <c r="AI81" s="99"/>
      <c r="AJ81" s="99"/>
      <c r="AK81" s="99" t="s">
        <v>284</v>
      </c>
      <c r="AL81" s="99" t="s">
        <v>917</v>
      </c>
    </row>
    <row r="82" spans="11:50" x14ac:dyDescent="0.25">
      <c r="X82" s="115"/>
      <c r="Y82" s="115"/>
      <c r="AC82" s="115"/>
      <c r="AD82" s="115"/>
      <c r="AF82" s="99"/>
      <c r="AG82" s="99"/>
      <c r="AH82" s="99"/>
      <c r="AI82" s="99"/>
      <c r="AJ82" s="99"/>
      <c r="AK82" s="99"/>
      <c r="AL82" s="99"/>
      <c r="AU82" t="s">
        <v>25</v>
      </c>
    </row>
    <row r="83" spans="11:50" x14ac:dyDescent="0.25">
      <c r="K83" s="48" t="s">
        <v>789</v>
      </c>
      <c r="L83" s="48" t="s">
        <v>476</v>
      </c>
      <c r="AF83" s="99"/>
      <c r="AG83" s="99"/>
      <c r="AH83" s="99"/>
      <c r="AI83" s="99"/>
      <c r="AJ83" s="99"/>
      <c r="AK83" s="99" t="s">
        <v>4066</v>
      </c>
      <c r="AL83" s="99">
        <v>0.02</v>
      </c>
    </row>
    <row r="84" spans="11:50" x14ac:dyDescent="0.25">
      <c r="K84" s="47">
        <v>700000</v>
      </c>
      <c r="L84" s="48" t="s">
        <v>1041</v>
      </c>
      <c r="AF84" s="99"/>
      <c r="AG84" s="99"/>
      <c r="AH84" s="99"/>
      <c r="AI84" s="99"/>
      <c r="AJ84" s="99"/>
      <c r="AK84" s="99"/>
      <c r="AL84" s="99"/>
      <c r="AX84" t="s">
        <v>25</v>
      </c>
    </row>
    <row r="85" spans="11:50" x14ac:dyDescent="0.25">
      <c r="K85" s="47">
        <v>500000</v>
      </c>
      <c r="L85" s="48" t="s">
        <v>479</v>
      </c>
      <c r="AF85" s="99"/>
      <c r="AG85" s="99" t="s">
        <v>4067</v>
      </c>
      <c r="AH85" s="95">
        <f>AH80+AL80</f>
        <v>230928960.12322581</v>
      </c>
      <c r="AI85" s="99"/>
      <c r="AJ85" s="99"/>
      <c r="AK85" s="99"/>
      <c r="AL85" s="99"/>
      <c r="AT85" t="s">
        <v>25</v>
      </c>
    </row>
    <row r="86" spans="11:50" x14ac:dyDescent="0.25">
      <c r="K86" s="47">
        <v>180000</v>
      </c>
      <c r="L86" s="48" t="s">
        <v>558</v>
      </c>
      <c r="AG86" t="s">
        <v>4070</v>
      </c>
      <c r="AH86" s="114">
        <f>SUM(N33:N36)</f>
        <v>254213782</v>
      </c>
    </row>
    <row r="87" spans="11:50" x14ac:dyDescent="0.25">
      <c r="K87" s="47">
        <v>0</v>
      </c>
      <c r="L87" s="48" t="s">
        <v>785</v>
      </c>
      <c r="AG87" t="s">
        <v>4144</v>
      </c>
      <c r="AH87" s="114">
        <f>AH86-AH80</f>
        <v>31689883</v>
      </c>
      <c r="AS87" s="96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4">
        <f>AL80</f>
        <v>8405061.1232258063</v>
      </c>
      <c r="AS88" s="96" t="s">
        <v>25</v>
      </c>
    </row>
    <row r="89" spans="11:50" x14ac:dyDescent="0.25">
      <c r="K89" s="47">
        <v>500000</v>
      </c>
      <c r="L89" s="48" t="s">
        <v>787</v>
      </c>
      <c r="AG89" t="s">
        <v>4071</v>
      </c>
      <c r="AH89" s="114">
        <f>AH86-AH85</f>
        <v>23284821.876774192</v>
      </c>
      <c r="AO89" t="s">
        <v>25</v>
      </c>
      <c r="AT89" t="s">
        <v>25</v>
      </c>
    </row>
    <row r="90" spans="11:50" x14ac:dyDescent="0.25">
      <c r="K90" s="47">
        <v>75000</v>
      </c>
      <c r="L90" s="48" t="s">
        <v>788</v>
      </c>
    </row>
    <row r="91" spans="11:50" x14ac:dyDescent="0.25">
      <c r="K91" s="47">
        <v>0</v>
      </c>
      <c r="L91" s="48" t="s">
        <v>790</v>
      </c>
      <c r="AR91" s="96" t="s">
        <v>25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1105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2018-10-17T11:56:52Z</dcterms:modified>
</cp:coreProperties>
</file>