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3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</sheets>
  <calcPr calcId="145621"/>
</workbook>
</file>

<file path=xl/calcChain.xml><?xml version="1.0" encoding="utf-8"?>
<calcChain xmlns="http://schemas.openxmlformats.org/spreadsheetml/2006/main">
  <c r="I50" i="32" l="1"/>
  <c r="L36" i="32"/>
  <c r="L34" i="32"/>
  <c r="L32" i="32"/>
  <c r="L30" i="32"/>
  <c r="L28" i="32"/>
  <c r="L26" i="32"/>
  <c r="L24" i="32"/>
  <c r="L22" i="32"/>
  <c r="L20" i="32"/>
  <c r="L18" i="32"/>
  <c r="L16" i="32"/>
  <c r="L14" i="32"/>
  <c r="L12" i="32"/>
  <c r="L10" i="32"/>
  <c r="L8" i="32"/>
  <c r="L6" i="32"/>
  <c r="L4" i="32"/>
  <c r="L2" i="32"/>
  <c r="L46" i="32"/>
  <c r="L50" i="32"/>
  <c r="L48" i="32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B2" i="33"/>
  <c r="V13" i="33"/>
  <c r="E29" i="33"/>
  <c r="T4" i="33"/>
  <c r="E26" i="33"/>
  <c r="E9" i="33"/>
  <c r="E2" i="33"/>
  <c r="E27" i="33"/>
  <c r="E4" i="33"/>
  <c r="E5" i="33"/>
  <c r="E6" i="33"/>
  <c r="E7" i="33"/>
  <c r="E8" i="33"/>
  <c r="E3" i="33"/>
  <c r="S20" i="32" l="1"/>
  <c r="W2" i="33"/>
  <c r="P2" i="33" s="1"/>
  <c r="H29" i="33"/>
  <c r="H28" i="33"/>
  <c r="H26" i="33"/>
  <c r="H25" i="33"/>
  <c r="H24" i="33"/>
  <c r="H23" i="33"/>
  <c r="H22" i="33"/>
  <c r="H20" i="33"/>
  <c r="H19" i="33"/>
  <c r="H18" i="33"/>
  <c r="H16" i="33"/>
  <c r="H14" i="33"/>
  <c r="H9" i="33"/>
  <c r="H27" i="33"/>
  <c r="I27" i="33" s="1"/>
  <c r="H21" i="33"/>
  <c r="H17" i="33"/>
  <c r="H15" i="33"/>
  <c r="H13" i="33"/>
  <c r="H12" i="33"/>
  <c r="H11" i="33"/>
  <c r="H10" i="33"/>
  <c r="H8" i="33"/>
  <c r="H7" i="33"/>
  <c r="H6" i="33"/>
  <c r="H5" i="33"/>
  <c r="H4" i="33"/>
  <c r="H3" i="33"/>
  <c r="H2" i="33"/>
  <c r="B24" i="33" l="1"/>
  <c r="I24" i="33"/>
  <c r="I2" i="33"/>
  <c r="B11" i="33"/>
  <c r="I11" i="33"/>
  <c r="B14" i="33"/>
  <c r="L14" i="33" s="1"/>
  <c r="I14" i="33"/>
  <c r="B25" i="33"/>
  <c r="L25" i="33" s="1"/>
  <c r="I25" i="33"/>
  <c r="B12" i="33"/>
  <c r="I12" i="33"/>
  <c r="B13" i="33"/>
  <c r="L13" i="33" s="1"/>
  <c r="I13" i="33"/>
  <c r="B10" i="33"/>
  <c r="L10" i="33" s="1"/>
  <c r="I10" i="33"/>
  <c r="B26" i="33"/>
  <c r="I26" i="33"/>
  <c r="B18" i="33"/>
  <c r="I18" i="33"/>
  <c r="B29" i="33"/>
  <c r="L29" i="33" s="1"/>
  <c r="I29" i="33"/>
  <c r="B7" i="33"/>
  <c r="L7" i="33" s="1"/>
  <c r="I7" i="33"/>
  <c r="B22" i="33"/>
  <c r="L22" i="33" s="1"/>
  <c r="I22" i="33"/>
  <c r="B9" i="33"/>
  <c r="L9" i="33" s="1"/>
  <c r="I9" i="33"/>
  <c r="B3" i="33"/>
  <c r="L3" i="33" s="1"/>
  <c r="I3" i="33"/>
  <c r="B16" i="33"/>
  <c r="L16" i="33" s="1"/>
  <c r="I16" i="33"/>
  <c r="B4" i="33"/>
  <c r="L4" i="33" s="1"/>
  <c r="I4" i="33"/>
  <c r="B28" i="33"/>
  <c r="I28" i="33"/>
  <c r="B5" i="33"/>
  <c r="L5" i="33" s="1"/>
  <c r="I5" i="33"/>
  <c r="B15" i="33"/>
  <c r="I15" i="33"/>
  <c r="B19" i="33"/>
  <c r="L19" i="33" s="1"/>
  <c r="I19" i="33"/>
  <c r="B6" i="33"/>
  <c r="I6" i="33"/>
  <c r="B17" i="33"/>
  <c r="L17" i="33" s="1"/>
  <c r="I17" i="33"/>
  <c r="B20" i="33"/>
  <c r="L20" i="33" s="1"/>
  <c r="I20" i="33"/>
  <c r="B21" i="33"/>
  <c r="L21" i="33" s="1"/>
  <c r="I21" i="33"/>
  <c r="B8" i="33"/>
  <c r="I8" i="33"/>
  <c r="B23" i="33"/>
  <c r="L23" i="33" s="1"/>
  <c r="I23" i="33"/>
  <c r="L8" i="33"/>
  <c r="B27" i="33"/>
  <c r="L27" i="33" s="1"/>
  <c r="L26" i="33"/>
  <c r="L12" i="33"/>
  <c r="L28" i="33"/>
  <c r="L6" i="33"/>
  <c r="L11" i="33"/>
  <c r="L2" i="33"/>
  <c r="L15" i="33"/>
  <c r="L18" i="33"/>
  <c r="L24" i="33"/>
  <c r="K77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I30" i="34" l="1"/>
  <c r="L38" i="32"/>
  <c r="L40" i="32"/>
  <c r="L42" i="32"/>
  <c r="L44" i="32"/>
  <c r="F75" i="32"/>
  <c r="F72" i="32"/>
  <c r="F73" i="32"/>
  <c r="F71" i="32"/>
  <c r="P51" i="32"/>
  <c r="O51" i="32"/>
  <c r="Q51" i="32" s="1"/>
  <c r="I51" i="32"/>
  <c r="K50" i="32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M21" i="32"/>
  <c r="Q21" i="32" s="1"/>
  <c r="K21" i="32"/>
  <c r="S21" i="32" s="1"/>
  <c r="K20" i="32"/>
  <c r="I20" i="32"/>
  <c r="M19" i="32"/>
  <c r="AA7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AA6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I5" i="32"/>
  <c r="I6" i="32"/>
  <c r="I7" i="32"/>
  <c r="I8" i="32"/>
  <c r="I9" i="32"/>
  <c r="I19" i="32"/>
  <c r="I26" i="32"/>
  <c r="I46" i="32"/>
  <c r="I47" i="32"/>
  <c r="I2" i="32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AB5" i="32" s="1"/>
  <c r="K7" i="32"/>
  <c r="K9" i="32"/>
  <c r="S9" i="32" s="1"/>
  <c r="K8" i="32"/>
  <c r="S8" i="32" s="1"/>
  <c r="AB6" i="32"/>
  <c r="AB7" i="32"/>
  <c r="AB8" i="32"/>
  <c r="AG8" i="32" s="1"/>
  <c r="AB9" i="32"/>
  <c r="AG9" i="32" s="1"/>
  <c r="AB10" i="32"/>
  <c r="AB4" i="32"/>
  <c r="AB12" i="32" l="1"/>
  <c r="AG7" i="32"/>
  <c r="AC7" i="32"/>
  <c r="AE7" i="32" s="1"/>
  <c r="AG6" i="32"/>
  <c r="AC6" i="32"/>
  <c r="AE6" i="32" s="1"/>
  <c r="AG4" i="32"/>
  <c r="AC4" i="32"/>
  <c r="AG5" i="32"/>
  <c r="AD5" i="32"/>
  <c r="F79" i="32"/>
  <c r="P5" i="32"/>
  <c r="Q5" i="32"/>
  <c r="P5" i="33"/>
  <c r="AE4" i="32" l="1"/>
  <c r="AC12" i="32"/>
  <c r="AF5" i="32"/>
  <c r="AD7" i="32"/>
  <c r="AF7" i="32" s="1"/>
  <c r="AF12" i="32" s="1"/>
  <c r="AE12" i="32"/>
  <c r="AG12" i="32"/>
  <c r="F81" i="32" s="1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S2" i="32" s="1"/>
  <c r="K3" i="32"/>
  <c r="S3" i="32" s="1"/>
  <c r="K4" i="32"/>
  <c r="S4" i="32" s="1"/>
  <c r="K6" i="32"/>
  <c r="R3" i="33" l="1"/>
  <c r="R4" i="33" s="1"/>
  <c r="R5" i="33" s="1"/>
  <c r="R6" i="33" s="1"/>
  <c r="AD12" i="32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R7" i="33" l="1"/>
  <c r="R8" i="33" s="1"/>
  <c r="R9" i="33" s="1"/>
  <c r="R10" i="33" s="1"/>
  <c r="R11" i="33" s="1"/>
  <c r="R12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R13" i="33" l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3" i="32"/>
  <c r="AA15" i="32" s="1"/>
  <c r="AA16" i="32" s="1"/>
  <c r="F186" i="15"/>
  <c r="Q63" i="32"/>
  <c r="Z16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8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6" i="18" s="1"/>
  <c r="F15" i="18" s="1"/>
  <c r="G15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L28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<sst xmlns="http://schemas.openxmlformats.org/spreadsheetml/2006/main" count="2659" uniqueCount="1097">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</sst>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2" sqref="E3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0</v>
      </c>
      <c r="E31" s="54"/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0</v>
      </c>
      <c r="E32" s="41"/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14" activePane="bottomLeft" state="frozen"/>
      <selection pane="bottomLeft" activeCell="H53" sqref="H53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>(E4*(1+J4/100)+I4/C4)/(1-J5/100)-(S4/C4)*(G4/365)*($AB$2/100)</f>
        <v>97368.179199387931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v>12</v>
      </c>
      <c r="AB4" s="85">
        <f t="shared" ref="AB4:AB10" si="1">W4*AA4*$AB$2/(365*100)</f>
        <v>582246.57534246577</v>
      </c>
      <c r="AC4" s="85">
        <f>AB4</f>
        <v>582246.57534246577</v>
      </c>
      <c r="AD4" s="85">
        <v>0</v>
      </c>
      <c r="AE4" s="85">
        <f>Y4+AC4</f>
        <v>81082246.575342461</v>
      </c>
      <c r="AF4" s="85">
        <f>Z4+AD4</f>
        <v>0</v>
      </c>
      <c r="AG4" s="86">
        <f t="shared" ref="AG4:AG9" si="2">W4+AB4</f>
        <v>81082246.575342461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2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3">W5-Y5</f>
        <v>87000000</v>
      </c>
      <c r="AA5" s="82">
        <f>AA4-4</f>
        <v>8</v>
      </c>
      <c r="AB5" s="85">
        <f t="shared" si="1"/>
        <v>419506.84931506851</v>
      </c>
      <c r="AC5" s="85">
        <v>0</v>
      </c>
      <c r="AD5" s="85">
        <f>AB5</f>
        <v>419506.84931506851</v>
      </c>
      <c r="AE5" s="85">
        <f t="shared" ref="AE5:AE11" si="4">Y5+AC5</f>
        <v>0</v>
      </c>
      <c r="AF5" s="85">
        <f t="shared" ref="AF5:AF11" si="5">Z5+AD5</f>
        <v>87419506.849315062</v>
      </c>
      <c r="AG5" s="86">
        <f t="shared" si="2"/>
        <v>87419506.849315062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6">C6*E6*J6/100</f>
        <v>10149.999999999998</v>
      </c>
      <c r="L6" s="76">
        <f>(E6*(1+J6/100)+I6/C6)/(1-J7/100)-(S6/C6)*(G6/365)*($AB$2/100)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3"/>
        <v>0</v>
      </c>
      <c r="AA6" s="82">
        <f>AA4-5</f>
        <v>7</v>
      </c>
      <c r="AB6" s="85">
        <f t="shared" si="1"/>
        <v>4641.0958904109593</v>
      </c>
      <c r="AC6" s="85">
        <f>AB6</f>
        <v>4641.0958904109593</v>
      </c>
      <c r="AD6" s="85">
        <v>0</v>
      </c>
      <c r="AE6" s="85">
        <f t="shared" si="4"/>
        <v>1104641.0958904109</v>
      </c>
      <c r="AF6" s="85">
        <f t="shared" si="5"/>
        <v>0</v>
      </c>
      <c r="AG6" s="86">
        <f t="shared" si="2"/>
        <v>1104641.0958904109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6"/>
        <v>102208.905</v>
      </c>
      <c r="L7" s="76">
        <v>3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3"/>
        <v>5000000</v>
      </c>
      <c r="AA7" s="82">
        <f>AA4-6</f>
        <v>6</v>
      </c>
      <c r="AB7" s="85">
        <f t="shared" si="1"/>
        <v>36164.383561643837</v>
      </c>
      <c r="AC7" s="85">
        <f>AB7/2</f>
        <v>18082.191780821919</v>
      </c>
      <c r="AD7" s="85">
        <f>AB7-AC7</f>
        <v>18082.191780821919</v>
      </c>
      <c r="AE7" s="85">
        <f t="shared" si="4"/>
        <v>5018082.1917808224</v>
      </c>
      <c r="AF7" s="85">
        <f t="shared" si="5"/>
        <v>5018082.1917808224</v>
      </c>
      <c r="AG7" s="86">
        <f t="shared" si="2"/>
        <v>10036164.383561645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6"/>
        <v>12035</v>
      </c>
      <c r="L8" s="79">
        <f>(E8*(1+J8/100)+I8/C8)/(1-J9/100)-(S8/C8)*(G8/365)*($AB$2/100)</f>
        <v>83120.437317054864</v>
      </c>
      <c r="M8" s="79"/>
      <c r="N8" s="79"/>
      <c r="O8" s="79"/>
      <c r="P8" s="79"/>
      <c r="Q8" s="79"/>
      <c r="R8" s="79"/>
      <c r="S8" s="14">
        <f t="shared" ref="S8" si="7">C8*E8+K8-F8</f>
        <v>-852355</v>
      </c>
      <c r="U8" s="82"/>
      <c r="V8" s="82"/>
      <c r="W8" s="85"/>
      <c r="X8" s="82"/>
      <c r="Y8" s="82"/>
      <c r="Z8" s="86">
        <f t="shared" si="3"/>
        <v>0</v>
      </c>
      <c r="AA8" s="82"/>
      <c r="AB8" s="85">
        <f t="shared" si="1"/>
        <v>0</v>
      </c>
      <c r="AC8" s="85"/>
      <c r="AD8" s="85"/>
      <c r="AE8" s="85">
        <f t="shared" si="4"/>
        <v>0</v>
      </c>
      <c r="AF8" s="85">
        <f t="shared" si="5"/>
        <v>0</v>
      </c>
      <c r="AG8" s="86">
        <f t="shared" si="2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6"/>
        <v>12092.855</v>
      </c>
      <c r="L9" s="79">
        <v>4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8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1"/>
        <v>0</v>
      </c>
      <c r="AC9" s="85"/>
      <c r="AD9" s="85"/>
      <c r="AE9" s="85">
        <f t="shared" si="4"/>
        <v>0</v>
      </c>
      <c r="AF9" s="85">
        <f t="shared" si="5"/>
        <v>0</v>
      </c>
      <c r="AG9" s="86">
        <f t="shared" si="2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6"/>
        <v>7257.5610249999991</v>
      </c>
      <c r="L10" s="76">
        <f>(E10*(1+J10/100)+I10/C10)/(1-J11/100)-(S10/C10)*(G10/365)*($AB$2/100)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1"/>
        <v>0</v>
      </c>
      <c r="AC10" s="85"/>
      <c r="AD10" s="85"/>
      <c r="AE10" s="85">
        <f t="shared" si="4"/>
        <v>0</v>
      </c>
      <c r="AF10" s="85">
        <f t="shared" si="5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6"/>
        <v>7309.0874999999996</v>
      </c>
      <c r="L11" s="76">
        <v>5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4"/>
        <v>0</v>
      </c>
      <c r="AF11" s="85">
        <f t="shared" si="5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6"/>
        <v>29224.75</v>
      </c>
      <c r="L12" s="79">
        <f>(E12*(1+J12/100)+I12/C12)/(1-J13/100)-(S12/C12)*(G12/365)*($AB$2/100)</f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1042558.9041095892</v>
      </c>
      <c r="AC12" s="86">
        <f>SUM(AC4:AC10)</f>
        <v>604969.8630136986</v>
      </c>
      <c r="AD12" s="86">
        <f>SUM(AD4:AD10)</f>
        <v>437589.04109589045</v>
      </c>
      <c r="AE12" s="86">
        <f>SUM(AE4:AE11)</f>
        <v>87204969.8630137</v>
      </c>
      <c r="AF12" s="86">
        <f>SUM(AF4:AF11)</f>
        <v>92437589.041095883</v>
      </c>
      <c r="AG12" s="86">
        <f>SUM(AG4:AG10)</f>
        <v>179642558.90410957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6"/>
        <v>29355.25</v>
      </c>
      <c r="L13" s="79">
        <v>6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6"/>
        <v>7155.9529999999995</v>
      </c>
      <c r="L14" s="76">
        <f>(E14*(1+J14/100)+I14/C14)/(1-J15/100)-(S14/C14)*(G14/365)*($AB$2/100)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6"/>
        <v>7225.378999999999</v>
      </c>
      <c r="L15" s="76">
        <v>7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6"/>
        <v>174.2175</v>
      </c>
      <c r="L16" s="79">
        <f>(E16*(1+J16/100)+I16/C16)/(1-J17/100)-(S16/C16)*(G16/365)*($AB$2/100)</f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1334214.4589041173</v>
      </c>
      <c r="AA16" s="7">
        <f>AA15-AE12</f>
        <v>2568117.6369863003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6"/>
        <v>176.17500000000001</v>
      </c>
      <c r="L17" s="79">
        <v>8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>(E18*(1+J18/100)+I18/C18)/(1-J19/100)-(S18/C18)*(G18/365)*($AB$2/100)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9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9">C20*E20*J20/100</f>
        <v>7095.9375</v>
      </c>
      <c r="L20" s="79">
        <f>(E20*(1+J20/100)+I20/C20)/(1-J21/100)-(S20/C20)*(G20/365)*($AB$2/100)</f>
        <v>98027.635669411015</v>
      </c>
      <c r="M20" s="81"/>
      <c r="N20" s="79"/>
      <c r="O20" s="79"/>
      <c r="P20" s="81"/>
      <c r="Q20" s="81"/>
      <c r="R20" s="79"/>
      <c r="S20" s="14">
        <f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9"/>
        <v>7249.9274999999998</v>
      </c>
      <c r="L21" s="79">
        <v>10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0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1">C22*E22*J22/100</f>
        <v>21168.84</v>
      </c>
      <c r="L22" s="76">
        <f>(E22*(1+J22/100)+I22/C22)/(1-J23/100)-(S22/C22)*(G22/365)*($AB$2/100)</f>
        <v>97476.312473437632</v>
      </c>
      <c r="M22" s="78"/>
      <c r="N22" s="76"/>
      <c r="O22" s="76"/>
      <c r="P22" s="78"/>
      <c r="Q22" s="78"/>
      <c r="R22" s="76"/>
      <c r="S22" s="14">
        <f t="shared" ref="S22" si="12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1"/>
        <v>21532.5</v>
      </c>
      <c r="L23" s="76">
        <v>11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13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14">C24*E24*J24/100</f>
        <v>14191.875</v>
      </c>
      <c r="L24" s="79">
        <f>(E24*(1+J24/100)+I24/C24)/(1-J25/100)-(S24/C24)*(G24/365)*($AB$2/100)</f>
        <v>98027.635669411015</v>
      </c>
      <c r="M24" s="81"/>
      <c r="N24" s="79"/>
      <c r="O24" s="79"/>
      <c r="P24" s="81"/>
      <c r="Q24" s="81"/>
      <c r="R24" s="79"/>
      <c r="S24" s="14">
        <f t="shared" ref="S24" si="15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14"/>
        <v>14499.855</v>
      </c>
      <c r="L25" s="79">
        <v>12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16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14"/>
        <v>7048.3774999999996</v>
      </c>
      <c r="L26" s="76">
        <f>(E26*(1+J26/100)+I26/C26)/(1-J27/100)-(S26/C26)*(G26/365)*($AB$2/100)</f>
        <v>97373.585427558937</v>
      </c>
      <c r="M26" s="76"/>
      <c r="N26" s="76"/>
      <c r="O26" s="76"/>
      <c r="P26" s="78"/>
      <c r="Q26" s="78"/>
      <c r="R26" s="76"/>
      <c r="S26" s="14">
        <f t="shared" ref="S26" si="17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14"/>
        <v>7213.75</v>
      </c>
      <c r="L27" s="76">
        <v>13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18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19">C28*E28*J28/100</f>
        <v>7177.5</v>
      </c>
      <c r="L28" s="79">
        <f>(E28*(1+J28/100)+I28/C28)/(1-J29/100)-(S28/C28)*(G28/365)*($AB$2/100)</f>
        <v>99143.654149258218</v>
      </c>
      <c r="M28" s="81"/>
      <c r="N28" s="79"/>
      <c r="O28" s="79"/>
      <c r="P28" s="81"/>
      <c r="Q28" s="81"/>
      <c r="R28" s="79"/>
      <c r="S28" s="14">
        <f t="shared" ref="S28" si="20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19"/>
        <v>7192</v>
      </c>
      <c r="L29" s="79">
        <v>14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21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22">C30*E30*J30/100</f>
        <v>7056.28</v>
      </c>
      <c r="L30" s="76">
        <f>(E30*(1+J30/100)+I30/C30)/(1-J31/100)-(S30/C30)*(G30/365)*($AB$2/100)</f>
        <v>97476.312473437632</v>
      </c>
      <c r="M30" s="78"/>
      <c r="N30" s="76"/>
      <c r="O30" s="76"/>
      <c r="P30" s="78"/>
      <c r="Q30" s="78"/>
      <c r="R30" s="76"/>
      <c r="S30" s="14">
        <f t="shared" ref="S30" si="23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22"/>
        <v>7177.5</v>
      </c>
      <c r="L31" s="76">
        <v>15</v>
      </c>
      <c r="M31" s="78">
        <f>F31-F30</f>
        <v>164154</v>
      </c>
      <c r="N31" s="76">
        <v>50</v>
      </c>
      <c r="O31" s="76">
        <v>50</v>
      </c>
      <c r="P31" s="78">
        <f t="shared" ref="P31" si="24">M31*N31/C30</f>
        <v>82077</v>
      </c>
      <c r="Q31" s="78">
        <f t="shared" ref="Q31" si="25">M31*O31/C30</f>
        <v>82077</v>
      </c>
      <c r="R31" s="76"/>
      <c r="S31" s="14">
        <f t="shared" ref="S31" si="26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22"/>
        <v>32987.5</v>
      </c>
      <c r="L32" s="79">
        <f>(E32*(1+J32/100)+I32/C32)/(1-J33/100)-(S32/C32)*(G32/365)*($AB$2/100)</f>
        <v>91132.045733156541</v>
      </c>
      <c r="M32" s="81"/>
      <c r="N32" s="79"/>
      <c r="O32" s="79"/>
      <c r="P32" s="81"/>
      <c r="Q32" s="81"/>
      <c r="R32" s="79"/>
      <c r="S32" s="14">
        <f t="shared" ref="S32" si="27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22"/>
        <v>33350</v>
      </c>
      <c r="L33" s="79">
        <v>16</v>
      </c>
      <c r="M33" s="81">
        <f>F33-F32</f>
        <v>433613</v>
      </c>
      <c r="N33" s="79">
        <v>250</v>
      </c>
      <c r="O33" s="79">
        <v>250</v>
      </c>
      <c r="P33" s="81">
        <f t="shared" ref="P33" si="28">M33*N33/C32</f>
        <v>216806.5</v>
      </c>
      <c r="Q33" s="81">
        <f t="shared" ref="Q33" si="29">M33*O33/C32</f>
        <v>216806.5</v>
      </c>
      <c r="R33" s="79"/>
      <c r="S33" s="14">
        <f t="shared" ref="S33" si="30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22"/>
        <v>7056.28</v>
      </c>
      <c r="L34" s="76">
        <f>(E34*(1+J34/100)+I34/C34)/(1-J35/100)-(S34/C34)*(G34/365)*($AB$2/100)</f>
        <v>97476.312473437632</v>
      </c>
      <c r="M34" s="78"/>
      <c r="N34" s="76"/>
      <c r="O34" s="76"/>
      <c r="P34" s="78"/>
      <c r="Q34" s="78"/>
      <c r="R34" s="76"/>
      <c r="S34" s="14">
        <f t="shared" ref="S34" si="31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22"/>
        <v>7249.8549999999996</v>
      </c>
      <c r="L35" s="76">
        <v>17</v>
      </c>
      <c r="M35" s="78">
        <f t="shared" ref="M35" si="32">F35-F34</f>
        <v>263972</v>
      </c>
      <c r="N35" s="76">
        <v>50</v>
      </c>
      <c r="O35" s="76">
        <v>50</v>
      </c>
      <c r="P35" s="78">
        <f t="shared" ref="P35" si="33">M35*N35/C34</f>
        <v>131986</v>
      </c>
      <c r="Q35" s="78">
        <f t="shared" ref="Q35" si="34">M35*O35/C34</f>
        <v>131986</v>
      </c>
      <c r="R35" s="76"/>
      <c r="S35" s="14">
        <f t="shared" ref="S35" si="35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22"/>
        <v>14112.56</v>
      </c>
      <c r="L36" s="79">
        <f>(E36*(1+J36/100)+I36/C36)/(1-J37/100)-(S36/C36)*(G36/365)*($AB$2/100)</f>
        <v>97476.312473437632</v>
      </c>
      <c r="M36" s="81"/>
      <c r="N36" s="79"/>
      <c r="O36" s="79"/>
      <c r="P36" s="81"/>
      <c r="Q36" s="81"/>
      <c r="R36" s="79"/>
      <c r="S36" s="14">
        <f t="shared" ref="S36" si="36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22"/>
        <v>14355</v>
      </c>
      <c r="L37" s="79">
        <v>18</v>
      </c>
      <c r="M37" s="81">
        <f t="shared" ref="M37" si="37">F37-F36</f>
        <v>328309</v>
      </c>
      <c r="N37" s="79">
        <v>100</v>
      </c>
      <c r="O37" s="79">
        <v>100</v>
      </c>
      <c r="P37" s="81">
        <f t="shared" ref="P37" si="38">M37*N37/C36</f>
        <v>164154.5</v>
      </c>
      <c r="Q37" s="81">
        <f t="shared" ref="Q37" si="39">M37*O37/C36</f>
        <v>164154.5</v>
      </c>
      <c r="R37" s="79"/>
      <c r="S37" s="14">
        <f t="shared" ref="S37" si="40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22"/>
        <v>0</v>
      </c>
      <c r="L38" s="76">
        <f t="shared" ref="L38" si="41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42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22"/>
        <v>0</v>
      </c>
      <c r="L39" s="76">
        <v>19</v>
      </c>
      <c r="M39" s="78">
        <f t="shared" ref="M39" si="43">F39-F38</f>
        <v>0</v>
      </c>
      <c r="N39" s="76">
        <v>50</v>
      </c>
      <c r="O39" s="76">
        <v>50</v>
      </c>
      <c r="P39" s="78">
        <f t="shared" ref="P39" si="44">M39*N39/C38</f>
        <v>0</v>
      </c>
      <c r="Q39" s="78">
        <f t="shared" ref="Q39" si="45">M39*O39/C38</f>
        <v>0</v>
      </c>
      <c r="R39" s="76"/>
      <c r="S39" s="14">
        <f t="shared" ref="S39" si="46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22"/>
        <v>0</v>
      </c>
      <c r="L40" s="79">
        <f t="shared" ref="L8:L44" si="47">(E40*(1+J40/100)+I40/C40)/(1-J41/100)</f>
        <v>0</v>
      </c>
      <c r="M40" s="81"/>
      <c r="N40" s="79"/>
      <c r="O40" s="79"/>
      <c r="P40" s="81"/>
      <c r="Q40" s="81"/>
      <c r="R40" s="79"/>
      <c r="S40" s="14">
        <f t="shared" ref="S40" si="48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22"/>
        <v>0</v>
      </c>
      <c r="L41" s="79">
        <v>20</v>
      </c>
      <c r="M41" s="81">
        <f t="shared" ref="M41" si="49">F41-F40</f>
        <v>0</v>
      </c>
      <c r="N41" s="79">
        <v>50</v>
      </c>
      <c r="O41" s="79">
        <v>50</v>
      </c>
      <c r="P41" s="81">
        <f t="shared" ref="P41" si="50">M41*N41/C40</f>
        <v>0</v>
      </c>
      <c r="Q41" s="81">
        <f t="shared" ref="Q41" si="51">M41*O41/C40</f>
        <v>0</v>
      </c>
      <c r="R41" s="79"/>
      <c r="S41" s="14">
        <f t="shared" ref="S41" si="52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22"/>
        <v>0</v>
      </c>
      <c r="L42" s="76">
        <f t="shared" ref="L42" si="53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54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22"/>
        <v>0</v>
      </c>
      <c r="L43" s="76">
        <v>21</v>
      </c>
      <c r="M43" s="78">
        <f t="shared" ref="M43" si="55">F43-F42</f>
        <v>0</v>
      </c>
      <c r="N43" s="76">
        <v>50</v>
      </c>
      <c r="O43" s="76">
        <v>50</v>
      </c>
      <c r="P43" s="78">
        <f t="shared" ref="P43" si="56">M43*N43/C42</f>
        <v>0</v>
      </c>
      <c r="Q43" s="78">
        <f t="shared" ref="Q43" si="57">M43*O43/C42</f>
        <v>0</v>
      </c>
      <c r="R43" s="76"/>
      <c r="S43" s="14">
        <f t="shared" ref="S43" si="58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22"/>
        <v>0</v>
      </c>
      <c r="L44" s="79">
        <f t="shared" si="47"/>
        <v>0</v>
      </c>
      <c r="M44" s="79"/>
      <c r="N44" s="79"/>
      <c r="O44" s="79"/>
      <c r="P44" s="79"/>
      <c r="Q44" s="79"/>
      <c r="R44" s="79"/>
      <c r="S44" s="14">
        <f t="shared" ref="S44" si="59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22"/>
        <v>0</v>
      </c>
      <c r="L45" s="79">
        <v>22</v>
      </c>
      <c r="M45" s="79">
        <f t="shared" ref="M45" si="60">F45-F44</f>
        <v>0</v>
      </c>
      <c r="N45" s="79">
        <v>50</v>
      </c>
      <c r="O45" s="79">
        <v>50</v>
      </c>
      <c r="P45" s="79">
        <f t="shared" ref="P45" si="61">M45*N45/C44</f>
        <v>0</v>
      </c>
      <c r="Q45" s="79">
        <f t="shared" ref="Q45" si="62">M45*O45/C44</f>
        <v>0</v>
      </c>
      <c r="R45" s="79"/>
      <c r="S45" s="14">
        <f t="shared" ref="S45" si="63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8</v>
      </c>
      <c r="H46" s="16">
        <v>21</v>
      </c>
      <c r="I46" s="14">
        <f>F46*G46*($AB$2-H46)/(36500)</f>
        <v>2237.9432328767125</v>
      </c>
      <c r="J46" s="16">
        <v>7.2499999999999995E-2</v>
      </c>
      <c r="K46" s="14">
        <f>C46*E46*J46/100</f>
        <v>7095.9375</v>
      </c>
      <c r="L46" s="16">
        <f>(E46*(1+J46/100)+I46/C46)/(1-J47/100)-(S46/C46)*(G46/365)*($AB$2/100)</f>
        <v>98059.477530412303</v>
      </c>
      <c r="M46" s="16"/>
      <c r="N46" s="16"/>
      <c r="O46" s="16"/>
      <c r="P46" s="16"/>
      <c r="Q46" s="16"/>
      <c r="R46" s="14">
        <v>98000</v>
      </c>
      <c r="S46" s="14">
        <f t="shared" ref="S46" si="64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65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6</v>
      </c>
      <c r="H48" s="83">
        <v>15</v>
      </c>
      <c r="I48" s="84">
        <f>F48*G48*($AB$2-H48)/(36500)</f>
        <v>196644.44416438357</v>
      </c>
      <c r="J48" s="83">
        <v>7.2499999999999995E-2</v>
      </c>
      <c r="K48" s="84">
        <f>C48*E48*J48/100</f>
        <v>117825.84</v>
      </c>
      <c r="L48" s="84">
        <f>(E48*(1+J48/100)+I48/C48)/(1-J49/100)-(S48/C48)*(G48/365)*($AB$2/100)</f>
        <v>85779.405935242379</v>
      </c>
      <c r="M48" s="83"/>
      <c r="N48" s="83"/>
      <c r="O48" s="83"/>
      <c r="P48" s="83"/>
      <c r="Q48" s="83"/>
      <c r="R48" s="84">
        <v>85600</v>
      </c>
      <c r="S48" s="14">
        <f t="shared" ref="S48" si="66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67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6</v>
      </c>
      <c r="H50" s="16">
        <v>0</v>
      </c>
      <c r="I50" s="16">
        <f>F50*G50*($AB$2-H50)/(36500)</f>
        <v>2379.8912876712329</v>
      </c>
      <c r="J50" s="16">
        <v>7.2499999999999995E-2</v>
      </c>
      <c r="K50" s="16">
        <f>C50*E50*J50/100</f>
        <v>476.76</v>
      </c>
      <c r="L50" s="16">
        <f>(E50*(1+J50/100)+I50/C50)/(1-J51/100)-(S50/C50)*(G50/365)*($AB$2/100)</f>
        <v>82616.97872053129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68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69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70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71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72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73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74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75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76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77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78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3785530.5583904386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abSelected="1" zoomScaleNormal="100" workbookViewId="0">
      <selection activeCell="T3" sqref="T3"/>
    </sheetView>
  </sheetViews>
  <sheetFormatPr defaultRowHeight="15" x14ac:dyDescent="0.25"/>
  <cols>
    <col min="2" max="2" width="11.42578125" bestFit="1" customWidth="1"/>
    <col min="3" max="3" width="12.42578125" bestFit="1" customWidth="1"/>
    <col min="5" max="5" width="9" bestFit="1" customWidth="1"/>
    <col min="6" max="6" width="10.85546875" bestFit="1" customWidth="1"/>
    <col min="7" max="7" width="12.140625" bestFit="1" customWidth="1"/>
    <col min="8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2.7109375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1096</v>
      </c>
      <c r="D1" s="11" t="s">
        <v>1001</v>
      </c>
      <c r="E1" s="11" t="s">
        <v>1092</v>
      </c>
      <c r="F1" s="11" t="s">
        <v>1002</v>
      </c>
      <c r="G1" s="11" t="s">
        <v>999</v>
      </c>
      <c r="H1" s="11" t="s">
        <v>1086</v>
      </c>
      <c r="I1" s="11" t="s">
        <v>1037</v>
      </c>
      <c r="J1" s="11" t="s">
        <v>1014</v>
      </c>
      <c r="K1" s="11" t="s">
        <v>968</v>
      </c>
      <c r="L1" s="74" t="s">
        <v>1091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1076</v>
      </c>
      <c r="AC1" t="s">
        <v>1087</v>
      </c>
      <c r="AD1" t="s">
        <v>1088</v>
      </c>
    </row>
    <row r="2" spans="1:30" x14ac:dyDescent="0.25">
      <c r="A2" s="16" t="s">
        <v>1040</v>
      </c>
      <c r="B2" s="14">
        <f>J2/(1+($T$2-D2+E2)/36500)^H2</f>
        <v>82075.094397438967</v>
      </c>
      <c r="C2" s="14">
        <f>J2/(1+($T$3-D2+E2)/36500)^H2</f>
        <v>86575.757670912295</v>
      </c>
      <c r="D2" s="16">
        <v>17</v>
      </c>
      <c r="E2" s="16">
        <f>$Z$2</f>
        <v>0.78</v>
      </c>
      <c r="F2" s="16">
        <v>6</v>
      </c>
      <c r="G2" s="16" t="s">
        <v>1041</v>
      </c>
      <c r="H2" s="16">
        <f>1397-$U$8</f>
        <v>1392</v>
      </c>
      <c r="I2" s="16">
        <f>H2/30.5</f>
        <v>45.639344262295083</v>
      </c>
      <c r="J2" s="14">
        <v>100000</v>
      </c>
      <c r="K2" s="14">
        <v>96000</v>
      </c>
      <c r="L2" s="14">
        <f>B2*(1+$T$2/36500)^H2</f>
        <v>185587.59193824147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1077</v>
      </c>
    </row>
    <row r="3" spans="1:30" x14ac:dyDescent="0.25">
      <c r="A3" s="11" t="s">
        <v>987</v>
      </c>
      <c r="B3" s="43">
        <f>J3/(1+($T$2-D3+E3)/36500)^H3</f>
        <v>98058.794439591555</v>
      </c>
      <c r="C3" s="43">
        <f t="shared" ref="C3:C29" si="0">J3/(1+($T$3-D3+E3)/36500)^H3</f>
        <v>100183.95010503675</v>
      </c>
      <c r="D3" s="11">
        <v>21</v>
      </c>
      <c r="E3" s="11">
        <f>$Z$1</f>
        <v>0.88</v>
      </c>
      <c r="F3" s="11">
        <v>3</v>
      </c>
      <c r="G3" s="11" t="s">
        <v>1007</v>
      </c>
      <c r="H3" s="20">
        <f>564-$U$8</f>
        <v>559</v>
      </c>
      <c r="I3" s="20">
        <f t="shared" ref="I3:I29" si="1">H3/30.5</f>
        <v>18.327868852459016</v>
      </c>
      <c r="J3" s="3">
        <v>100000</v>
      </c>
      <c r="K3" s="3">
        <v>98000</v>
      </c>
      <c r="L3" s="3">
        <f>B3*(1+$T$2/36500)^H3</f>
        <v>136076.01554237539</v>
      </c>
      <c r="N3">
        <v>97</v>
      </c>
      <c r="O3">
        <v>2</v>
      </c>
      <c r="P3">
        <f t="shared" ref="P3" si="2">$W$2</f>
        <v>1185</v>
      </c>
      <c r="Q3" s="3">
        <f t="shared" ref="Q3:Q49" si="3">Q2*(1+($T$2+0.1875)/1200)</f>
        <v>88603.888696777314</v>
      </c>
      <c r="R3" s="3">
        <f>P3+R2*(1+$T$2/1200)</f>
        <v>2391.1324999999997</v>
      </c>
      <c r="S3" t="s">
        <v>976</v>
      </c>
      <c r="T3">
        <v>20</v>
      </c>
    </row>
    <row r="4" spans="1:30" x14ac:dyDescent="0.25">
      <c r="A4" s="16" t="s">
        <v>988</v>
      </c>
      <c r="B4" s="14">
        <f>J4/(1+($T$2-D4+E4)/36500)^H4</f>
        <v>90565.663304384943</v>
      </c>
      <c r="C4" s="14">
        <f t="shared" si="0"/>
        <v>92588.498036056058</v>
      </c>
      <c r="D4" s="16">
        <v>16</v>
      </c>
      <c r="E4" s="11">
        <f>$Z$1</f>
        <v>0.88</v>
      </c>
      <c r="F4" s="16">
        <v>3</v>
      </c>
      <c r="G4" s="16" t="s">
        <v>1008</v>
      </c>
      <c r="H4" s="16">
        <f>581-$U$8</f>
        <v>576</v>
      </c>
      <c r="I4" s="16">
        <f t="shared" si="1"/>
        <v>18.885245901639344</v>
      </c>
      <c r="J4" s="14">
        <v>100000</v>
      </c>
      <c r="K4" s="14">
        <v>91000</v>
      </c>
      <c r="L4" s="14">
        <f>B4*(1+$T$2/36500)^H4</f>
        <v>126936.3496429904</v>
      </c>
      <c r="N4">
        <v>97</v>
      </c>
      <c r="O4">
        <v>3</v>
      </c>
      <c r="P4">
        <f t="shared" ref="P4:P49" si="4">$W$2</f>
        <v>1185</v>
      </c>
      <c r="Q4" s="3">
        <f t="shared" si="3"/>
        <v>90197.835736145367</v>
      </c>
      <c r="R4" s="3">
        <f>P4+R3*(1+$T$2/1200)</f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20" t="s">
        <v>981</v>
      </c>
      <c r="B5" s="43">
        <f>J5/(1+($T$2-D5+E5)/36500)^H5</f>
        <v>97821.810012111615</v>
      </c>
      <c r="C5" s="43">
        <f t="shared" si="0"/>
        <v>100206.67938082531</v>
      </c>
      <c r="D5" s="11">
        <v>21</v>
      </c>
      <c r="E5" s="11">
        <f>$Z$1</f>
        <v>0.88</v>
      </c>
      <c r="F5" s="11">
        <v>3</v>
      </c>
      <c r="G5" s="11" t="s">
        <v>1009</v>
      </c>
      <c r="H5" s="20">
        <f>633-$U$8</f>
        <v>628</v>
      </c>
      <c r="I5" s="20">
        <f t="shared" si="1"/>
        <v>20.590163934426229</v>
      </c>
      <c r="J5" s="3">
        <v>100000</v>
      </c>
      <c r="K5" s="3">
        <v>97200</v>
      </c>
      <c r="L5" s="3">
        <f>B5*(1+$T$2/36500)^H5</f>
        <v>141349.69460848009</v>
      </c>
      <c r="N5">
        <v>97</v>
      </c>
      <c r="O5">
        <v>4</v>
      </c>
      <c r="P5">
        <f t="shared" si="4"/>
        <v>1185</v>
      </c>
      <c r="Q5" s="3">
        <f t="shared" si="3"/>
        <v>91820.457218607058</v>
      </c>
      <c r="R5" s="3">
        <f>P5+R4*(1+$T$2/1200)</f>
        <v>4868.309172388681</v>
      </c>
    </row>
    <row r="6" spans="1:30" x14ac:dyDescent="0.25">
      <c r="A6" s="16" t="s">
        <v>974</v>
      </c>
      <c r="B6" s="14">
        <f>J6/(1+($T$2-D6+E6)/36500)^H6</f>
        <v>97588.820491639824</v>
      </c>
      <c r="C6" s="14">
        <f t="shared" si="0"/>
        <v>100229.08429196739</v>
      </c>
      <c r="D6" s="16">
        <v>21</v>
      </c>
      <c r="E6" s="11">
        <f>$Z$1</f>
        <v>0.88</v>
      </c>
      <c r="F6" s="16">
        <v>3</v>
      </c>
      <c r="G6" s="16" t="s">
        <v>1010</v>
      </c>
      <c r="H6" s="16">
        <f>701-$U$8</f>
        <v>696</v>
      </c>
      <c r="I6" s="16">
        <f t="shared" si="1"/>
        <v>22.819672131147541</v>
      </c>
      <c r="J6" s="14">
        <v>100000</v>
      </c>
      <c r="K6" s="14">
        <v>99500</v>
      </c>
      <c r="L6" s="14">
        <f>B6*(1+$T$2/36500)^H6</f>
        <v>146746.86830236125</v>
      </c>
      <c r="N6">
        <v>97</v>
      </c>
      <c r="O6">
        <v>5</v>
      </c>
      <c r="P6">
        <f t="shared" si="4"/>
        <v>1185</v>
      </c>
      <c r="Q6" s="3">
        <f t="shared" si="3"/>
        <v>93472.268985445946</v>
      </c>
      <c r="R6" s="3">
        <f>P6+R5*(1+$T$2/1200)</f>
        <v>6140.1273526296127</v>
      </c>
    </row>
    <row r="7" spans="1:30" x14ac:dyDescent="0.25">
      <c r="A7" s="11" t="s">
        <v>989</v>
      </c>
      <c r="B7" s="43">
        <f>J7/(1+($T$2-D7+E7)/36500)^H7</f>
        <v>91871.970067520306</v>
      </c>
      <c r="C7" s="43">
        <f t="shared" si="0"/>
        <v>94455.11662138431</v>
      </c>
      <c r="D7" s="11">
        <v>18</v>
      </c>
      <c r="E7" s="11">
        <f>$Z$1</f>
        <v>0.88</v>
      </c>
      <c r="F7" s="11">
        <v>3</v>
      </c>
      <c r="G7" s="11" t="s">
        <v>1039</v>
      </c>
      <c r="H7" s="20">
        <f>728-$U$8</f>
        <v>723</v>
      </c>
      <c r="I7" s="20">
        <f t="shared" si="1"/>
        <v>23.704918032786885</v>
      </c>
      <c r="J7" s="3">
        <v>100000</v>
      </c>
      <c r="K7" s="3">
        <v>93000</v>
      </c>
      <c r="L7" s="3">
        <f>B7*(1+$T$2/36500)^H7</f>
        <v>140353.97882657754</v>
      </c>
      <c r="N7">
        <v>97</v>
      </c>
      <c r="O7">
        <v>6</v>
      </c>
      <c r="P7">
        <f t="shared" si="4"/>
        <v>1185</v>
      </c>
      <c r="Q7" s="3">
        <f t="shared" si="3"/>
        <v>95153.796157715362</v>
      </c>
      <c r="R7" s="3">
        <f>P7+R6*(1+$T$2/1200)</f>
        <v>7434.626290418174</v>
      </c>
      <c r="T7" t="s">
        <v>1038</v>
      </c>
      <c r="U7" t="s">
        <v>1085</v>
      </c>
    </row>
    <row r="8" spans="1:30" x14ac:dyDescent="0.25">
      <c r="A8" s="16" t="s">
        <v>990</v>
      </c>
      <c r="B8" s="14">
        <f>J8/(1+($T$2-D8+E8)/36500)^H8</f>
        <v>89174.181217783931</v>
      </c>
      <c r="C8" s="14">
        <f t="shared" si="0"/>
        <v>91481.141779484082</v>
      </c>
      <c r="D8" s="16">
        <v>16</v>
      </c>
      <c r="E8" s="11">
        <f>$Z$1</f>
        <v>0.88</v>
      </c>
      <c r="F8" s="16">
        <v>3</v>
      </c>
      <c r="G8" s="16" t="s">
        <v>1011</v>
      </c>
      <c r="H8" s="16">
        <f>671-$U$8</f>
        <v>666</v>
      </c>
      <c r="I8" s="16">
        <f t="shared" si="1"/>
        <v>21.83606557377049</v>
      </c>
      <c r="J8" s="14">
        <v>100000</v>
      </c>
      <c r="K8" s="14">
        <v>90000</v>
      </c>
      <c r="L8" s="14">
        <f>B8*(1+$T$2/36500)^H8</f>
        <v>131756.27811225932</v>
      </c>
      <c r="N8">
        <v>97</v>
      </c>
      <c r="O8">
        <v>7</v>
      </c>
      <c r="P8">
        <f t="shared" si="4"/>
        <v>1185</v>
      </c>
      <c r="Q8" s="3">
        <f t="shared" si="3"/>
        <v>96865.573303177589</v>
      </c>
      <c r="R8" s="3">
        <f>P8+R7*(1+$T$2/1200)</f>
        <v>8752.2104592639662</v>
      </c>
      <c r="T8" t="s">
        <v>1094</v>
      </c>
      <c r="U8">
        <v>5</v>
      </c>
    </row>
    <row r="9" spans="1:30" x14ac:dyDescent="0.25">
      <c r="A9" s="11" t="s">
        <v>991</v>
      </c>
      <c r="B9" s="88">
        <f>J9/(1+($T$2-D9+E9)/36500)^H9</f>
        <v>82468.059617331397</v>
      </c>
      <c r="C9" s="88">
        <f t="shared" si="0"/>
        <v>85626.381534845161</v>
      </c>
      <c r="D9" s="11">
        <v>15</v>
      </c>
      <c r="E9" s="11">
        <f>$Z$2</f>
        <v>0.78</v>
      </c>
      <c r="F9" s="11">
        <v>6</v>
      </c>
      <c r="G9" s="11" t="s">
        <v>1012</v>
      </c>
      <c r="H9" s="20">
        <f>985-$U$8</f>
        <v>980</v>
      </c>
      <c r="I9" s="20">
        <f t="shared" si="1"/>
        <v>32.131147540983605</v>
      </c>
      <c r="J9" s="3">
        <v>100000</v>
      </c>
      <c r="K9" s="3">
        <v>82000</v>
      </c>
      <c r="L9" s="3">
        <f>B9*(1+$T$2/36500)^H9</f>
        <v>146469.61976596602</v>
      </c>
      <c r="N9">
        <v>97</v>
      </c>
      <c r="O9">
        <v>8</v>
      </c>
      <c r="P9">
        <f t="shared" si="4"/>
        <v>1185</v>
      </c>
      <c r="Q9" s="3">
        <f t="shared" si="3"/>
        <v>98608.144606246206</v>
      </c>
      <c r="R9" s="3">
        <f>P9+R8*(1+$T$2/1200)</f>
        <v>10093.291545787508</v>
      </c>
    </row>
    <row r="10" spans="1:30" x14ac:dyDescent="0.25">
      <c r="A10" s="16" t="s">
        <v>965</v>
      </c>
      <c r="B10" s="14">
        <f>J10/(1+($T$2-D10+E10)/36500)^H10</f>
        <v>81071.850335360316</v>
      </c>
      <c r="C10" s="14">
        <f t="shared" si="0"/>
        <v>82192.127623228167</v>
      </c>
      <c r="D10" s="16">
        <v>0</v>
      </c>
      <c r="E10" s="16">
        <v>0</v>
      </c>
      <c r="F10" s="16">
        <v>0</v>
      </c>
      <c r="G10" s="16" t="s">
        <v>1013</v>
      </c>
      <c r="H10" s="16">
        <f>363-$U$8</f>
        <v>358</v>
      </c>
      <c r="I10" s="16">
        <f t="shared" si="1"/>
        <v>11.737704918032787</v>
      </c>
      <c r="J10" s="14">
        <v>100000</v>
      </c>
      <c r="K10" s="14">
        <v>80200</v>
      </c>
      <c r="L10" s="14">
        <f>B10*(1+$T$2/36500)^H10</f>
        <v>100000</v>
      </c>
      <c r="N10">
        <v>97</v>
      </c>
      <c r="O10">
        <v>9</v>
      </c>
      <c r="P10">
        <f t="shared" si="4"/>
        <v>1185</v>
      </c>
      <c r="Q10" s="3">
        <f t="shared" si="3"/>
        <v>100382.06404098564</v>
      </c>
      <c r="R10" s="3">
        <f>P10+R9*(1+$T$2/1200)</f>
        <v>11458.288578354051</v>
      </c>
      <c r="V10" s="25"/>
      <c r="W10" s="26"/>
    </row>
    <row r="11" spans="1:30" x14ac:dyDescent="0.25">
      <c r="A11" s="11" t="s">
        <v>992</v>
      </c>
      <c r="B11" s="43">
        <f>J11/(1+($T$2-D11+E11)/36500)^H11</f>
        <v>92826.460288392773</v>
      </c>
      <c r="C11" s="43">
        <f t="shared" si="0"/>
        <v>93279.485172219313</v>
      </c>
      <c r="D11" s="11">
        <v>0</v>
      </c>
      <c r="E11" s="11">
        <v>0</v>
      </c>
      <c r="F11" s="11">
        <v>0</v>
      </c>
      <c r="G11" s="11" t="s">
        <v>1023</v>
      </c>
      <c r="H11" s="20">
        <f>132-$U$8</f>
        <v>127</v>
      </c>
      <c r="I11" s="20">
        <f t="shared" si="1"/>
        <v>4.1639344262295079</v>
      </c>
      <c r="J11" s="3">
        <v>100000</v>
      </c>
      <c r="K11" s="3">
        <v>92020</v>
      </c>
      <c r="L11" s="3">
        <f>B11*(1+$T$2/36500)^H11</f>
        <v>100000</v>
      </c>
      <c r="N11">
        <v>97</v>
      </c>
      <c r="O11">
        <v>10</v>
      </c>
      <c r="P11">
        <f t="shared" si="4"/>
        <v>1185</v>
      </c>
      <c r="Q11" s="3">
        <f t="shared" si="3"/>
        <v>102187.89554722294</v>
      </c>
      <c r="R11" s="3">
        <f>P11+R10*(1+$T$2/1200)</f>
        <v>12847.628058001366</v>
      </c>
      <c r="V11" s="25"/>
      <c r="W11" s="26"/>
    </row>
    <row r="12" spans="1:30" x14ac:dyDescent="0.25">
      <c r="A12" s="16" t="s">
        <v>993</v>
      </c>
      <c r="B12" s="14">
        <f>J12/(1+($T$2-D12+E12)/36500)^H12</f>
        <v>90941.568591026313</v>
      </c>
      <c r="C12" s="14">
        <f t="shared" si="0"/>
        <v>91508.089076346587</v>
      </c>
      <c r="D12" s="16">
        <v>0</v>
      </c>
      <c r="E12" s="16">
        <v>0</v>
      </c>
      <c r="F12" s="16">
        <v>0</v>
      </c>
      <c r="G12" s="16" t="s">
        <v>1024</v>
      </c>
      <c r="H12" s="16">
        <f>167-$U$8</f>
        <v>162</v>
      </c>
      <c r="I12" s="16">
        <f t="shared" si="1"/>
        <v>5.3114754098360653</v>
      </c>
      <c r="J12" s="14">
        <v>100000</v>
      </c>
      <c r="K12" s="14">
        <v>90100</v>
      </c>
      <c r="L12" s="14">
        <f>B12*(1+$T$2/36500)^H12</f>
        <v>99999.999999999985</v>
      </c>
      <c r="N12">
        <v>97</v>
      </c>
      <c r="O12">
        <v>11</v>
      </c>
      <c r="P12">
        <f t="shared" si="4"/>
        <v>1185</v>
      </c>
      <c r="Q12" s="3">
        <f t="shared" si="3"/>
        <v>104026.21320982766</v>
      </c>
      <c r="R12" s="3">
        <f>P12+R11*(1+$T$2/1200)</f>
        <v>14261.744091702391</v>
      </c>
      <c r="T12" t="s">
        <v>977</v>
      </c>
      <c r="U12" t="s">
        <v>1095</v>
      </c>
      <c r="V12" s="25"/>
      <c r="W12" s="26"/>
    </row>
    <row r="13" spans="1:30" x14ac:dyDescent="0.25">
      <c r="A13" s="11" t="s">
        <v>994</v>
      </c>
      <c r="B13" s="43">
        <f>J13/(1+($T$2-D13+E13)/36500)^H13</f>
        <v>89408.829347247549</v>
      </c>
      <c r="C13" s="43">
        <f t="shared" si="0"/>
        <v>90065.872075974417</v>
      </c>
      <c r="D13" s="11">
        <v>0</v>
      </c>
      <c r="E13" s="11">
        <v>0</v>
      </c>
      <c r="F13" s="11">
        <v>0</v>
      </c>
      <c r="G13" s="11" t="s">
        <v>1025</v>
      </c>
      <c r="H13" s="20">
        <f>196-$U$8</f>
        <v>191</v>
      </c>
      <c r="I13" s="20">
        <f t="shared" si="1"/>
        <v>6.2622950819672134</v>
      </c>
      <c r="J13" s="3">
        <v>100000</v>
      </c>
      <c r="K13" s="3">
        <v>88600</v>
      </c>
      <c r="L13" s="3">
        <f>B13*(1+$T$2/36500)^H13</f>
        <v>100000</v>
      </c>
      <c r="N13">
        <v>97</v>
      </c>
      <c r="O13">
        <v>12</v>
      </c>
      <c r="P13">
        <f t="shared" si="4"/>
        <v>1185</v>
      </c>
      <c r="Q13" s="3">
        <f t="shared" si="3"/>
        <v>105897.60144121695</v>
      </c>
      <c r="R13" s="3">
        <f>P13+R12*(1+$T$2/1200)</f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6" t="s">
        <v>995</v>
      </c>
      <c r="B14" s="14">
        <f>J14/(1+($T$2-D14+E14)/36500)^H14</f>
        <v>70515.811891394638</v>
      </c>
      <c r="C14" s="14">
        <f t="shared" si="0"/>
        <v>72145.454572576287</v>
      </c>
      <c r="D14" s="16">
        <v>0</v>
      </c>
      <c r="E14" s="16">
        <v>0</v>
      </c>
      <c r="F14" s="16">
        <v>0</v>
      </c>
      <c r="G14" s="16" t="s">
        <v>1026</v>
      </c>
      <c r="H14" s="16">
        <f>601-$U$8</f>
        <v>596</v>
      </c>
      <c r="I14" s="16">
        <f t="shared" si="1"/>
        <v>19.540983606557376</v>
      </c>
      <c r="J14" s="14">
        <v>100000</v>
      </c>
      <c r="K14" s="14">
        <v>71000</v>
      </c>
      <c r="L14" s="14">
        <f>B14*(1+$T$2/36500)^H14</f>
        <v>100000</v>
      </c>
      <c r="N14">
        <v>98</v>
      </c>
      <c r="O14">
        <v>1</v>
      </c>
      <c r="P14">
        <f t="shared" si="4"/>
        <v>1185</v>
      </c>
      <c r="Q14" s="3">
        <f t="shared" si="3"/>
        <v>107802.65516714382</v>
      </c>
      <c r="R14" s="3">
        <f>P14+R13*(1+$T$2/1200)</f>
        <v>17166.08109508716</v>
      </c>
      <c r="V14" s="25"/>
      <c r="W14" s="26"/>
    </row>
    <row r="15" spans="1:30" x14ac:dyDescent="0.25">
      <c r="A15" s="11" t="s">
        <v>996</v>
      </c>
      <c r="B15" s="43">
        <f>J15/(1+($T$2-D15+E15)/36500)^H15</f>
        <v>85513.443101129844</v>
      </c>
      <c r="C15" s="43">
        <f t="shared" si="0"/>
        <v>86393.192660650035</v>
      </c>
      <c r="D15" s="11">
        <v>0</v>
      </c>
      <c r="E15" s="11">
        <v>0</v>
      </c>
      <c r="F15" s="11">
        <v>0</v>
      </c>
      <c r="G15" s="11" t="s">
        <v>1027</v>
      </c>
      <c r="H15" s="20">
        <f>272-$U$8</f>
        <v>267</v>
      </c>
      <c r="I15" s="20">
        <f t="shared" si="1"/>
        <v>8.7540983606557372</v>
      </c>
      <c r="J15" s="3">
        <v>100000</v>
      </c>
      <c r="K15" s="3">
        <v>84500</v>
      </c>
      <c r="L15" s="3">
        <f>B15*(1+$T$2/36500)^H15</f>
        <v>99999.999999999985</v>
      </c>
      <c r="N15">
        <v>98</v>
      </c>
      <c r="O15">
        <v>2</v>
      </c>
      <c r="P15">
        <f t="shared" si="4"/>
        <v>1185</v>
      </c>
      <c r="Q15" s="3">
        <f t="shared" si="3"/>
        <v>109741.98001582774</v>
      </c>
      <c r="R15" s="3">
        <f>P15+R14*(1+$T$2/1200)</f>
        <v>18657.209541282882</v>
      </c>
      <c r="V15" s="25"/>
      <c r="W15" s="26"/>
    </row>
    <row r="16" spans="1:30" x14ac:dyDescent="0.25">
      <c r="A16" s="16" t="s">
        <v>997</v>
      </c>
      <c r="B16" s="14">
        <f>J16/(1+($T$2-D16+E16)/36500)^H16</f>
        <v>71682.639728955313</v>
      </c>
      <c r="C16" s="14">
        <f t="shared" si="0"/>
        <v>73260.570702792829</v>
      </c>
      <c r="D16" s="16">
        <v>0</v>
      </c>
      <c r="E16" s="16">
        <v>0</v>
      </c>
      <c r="F16" s="16">
        <v>0</v>
      </c>
      <c r="G16" s="16" t="s">
        <v>1028</v>
      </c>
      <c r="H16" s="16">
        <f>573-$U$8</f>
        <v>568</v>
      </c>
      <c r="I16" s="16">
        <f t="shared" si="1"/>
        <v>18.622950819672131</v>
      </c>
      <c r="J16" s="14">
        <v>100000</v>
      </c>
      <c r="K16" s="14">
        <v>71000</v>
      </c>
      <c r="L16" s="14">
        <f>B16*(1+$T$2/36500)^H16</f>
        <v>100000</v>
      </c>
      <c r="N16">
        <v>98</v>
      </c>
      <c r="O16">
        <v>3</v>
      </c>
      <c r="P16">
        <f t="shared" si="4"/>
        <v>1185</v>
      </c>
      <c r="Q16" s="3">
        <f t="shared" si="3"/>
        <v>111716.19251048745</v>
      </c>
      <c r="R16" s="3">
        <f>P16+R15*(1+$T$2/1200)</f>
        <v>20174.929778102429</v>
      </c>
      <c r="V16" s="25"/>
      <c r="W16" s="26"/>
    </row>
    <row r="17" spans="1:23" x14ac:dyDescent="0.25">
      <c r="A17" s="11" t="s">
        <v>998</v>
      </c>
      <c r="B17" s="43">
        <f>J17/(1+($T$2-D17+E17)/36500)^H17</f>
        <v>84814.606884714827</v>
      </c>
      <c r="C17" s="43">
        <f t="shared" si="0"/>
        <v>85733.166018404489</v>
      </c>
      <c r="D17" s="11">
        <v>0</v>
      </c>
      <c r="E17" s="11">
        <v>0</v>
      </c>
      <c r="F17" s="11">
        <v>0</v>
      </c>
      <c r="G17" s="11" t="s">
        <v>1030</v>
      </c>
      <c r="H17" s="20">
        <f>286-$U$8</f>
        <v>281</v>
      </c>
      <c r="I17" s="20">
        <f t="shared" si="1"/>
        <v>9.2131147540983598</v>
      </c>
      <c r="J17" s="3">
        <v>100000</v>
      </c>
      <c r="K17" s="3">
        <v>84000</v>
      </c>
      <c r="L17" s="3">
        <f>B17*(1+$T$2/36500)^H17</f>
        <v>100000</v>
      </c>
      <c r="N17">
        <v>98</v>
      </c>
      <c r="O17">
        <v>4</v>
      </c>
      <c r="P17">
        <f t="shared" si="4"/>
        <v>1185</v>
      </c>
      <c r="Q17" s="3">
        <f t="shared" si="3"/>
        <v>113725.92026533757</v>
      </c>
      <c r="R17" s="3">
        <f>P17+R16*(1+$T$2/1200)</f>
        <v>21719.716025811922</v>
      </c>
      <c r="V17" s="25"/>
      <c r="W17" s="26"/>
    </row>
    <row r="18" spans="1:23" x14ac:dyDescent="0.25">
      <c r="A18" s="16" t="s">
        <v>1015</v>
      </c>
      <c r="B18" s="14">
        <f>J18/(1+($T$2-D18+E18)/36500)^H18</f>
        <v>76188.159924427819</v>
      </c>
      <c r="C18" s="14">
        <f t="shared" si="0"/>
        <v>77555.456003801039</v>
      </c>
      <c r="D18" s="16">
        <v>0</v>
      </c>
      <c r="E18" s="16">
        <v>0</v>
      </c>
      <c r="F18" s="16">
        <v>0</v>
      </c>
      <c r="G18" s="16" t="s">
        <v>1029</v>
      </c>
      <c r="H18" s="16">
        <f>469-$U$8</f>
        <v>464</v>
      </c>
      <c r="I18" s="16">
        <f t="shared" si="1"/>
        <v>15.21311475409836</v>
      </c>
      <c r="J18" s="14">
        <v>100000</v>
      </c>
      <c r="K18" s="14">
        <v>75500</v>
      </c>
      <c r="L18" s="14">
        <f>B18*(1+$T$2/36500)^H18</f>
        <v>100000</v>
      </c>
      <c r="N18">
        <v>98</v>
      </c>
      <c r="O18">
        <v>5</v>
      </c>
      <c r="P18">
        <f t="shared" si="4"/>
        <v>1185</v>
      </c>
      <c r="Q18" s="3">
        <f t="shared" si="3"/>
        <v>115771.80218511086</v>
      </c>
      <c r="R18" s="3">
        <f>P18+R17*(1+$T$2/1200)</f>
        <v>23292.050961605568</v>
      </c>
      <c r="V18" s="25"/>
      <c r="W18" s="26"/>
    </row>
    <row r="19" spans="1:23" x14ac:dyDescent="0.25">
      <c r="A19" s="11" t="s">
        <v>1016</v>
      </c>
      <c r="B19" s="43">
        <f>J19/(1+($T$2-D19+E19)/36500)^H19</f>
        <v>76188.159924427819</v>
      </c>
      <c r="C19" s="43">
        <f t="shared" si="0"/>
        <v>77555.456003801039</v>
      </c>
      <c r="D19" s="11">
        <v>0</v>
      </c>
      <c r="E19" s="11">
        <v>0</v>
      </c>
      <c r="F19" s="11">
        <v>0</v>
      </c>
      <c r="G19" s="11" t="s">
        <v>1029</v>
      </c>
      <c r="H19" s="20">
        <f>469-$U$8</f>
        <v>464</v>
      </c>
      <c r="I19" s="20">
        <f t="shared" si="1"/>
        <v>15.21311475409836</v>
      </c>
      <c r="J19" s="3">
        <v>100000</v>
      </c>
      <c r="K19" s="3">
        <v>75500</v>
      </c>
      <c r="L19" s="3">
        <f>B19*(1+$T$2/36500)^H19</f>
        <v>100000</v>
      </c>
      <c r="N19">
        <v>98</v>
      </c>
      <c r="O19">
        <v>6</v>
      </c>
      <c r="P19">
        <f t="shared" si="4"/>
        <v>1185</v>
      </c>
      <c r="Q19" s="3">
        <f t="shared" si="3"/>
        <v>117854.48866817009</v>
      </c>
      <c r="R19" s="3">
        <f>P19+R18*(1+$T$2/1200)</f>
        <v>24892.42587042087</v>
      </c>
      <c r="V19" s="25"/>
      <c r="W19" s="26"/>
    </row>
    <row r="20" spans="1:23" x14ac:dyDescent="0.25">
      <c r="A20" s="16" t="s">
        <v>1017</v>
      </c>
      <c r="B20" s="14">
        <f>J20/(1+($T$2-D20+E20)/36500)^H20</f>
        <v>69653.172336007148</v>
      </c>
      <c r="C20" s="14">
        <f t="shared" si="0"/>
        <v>71320.270492205644</v>
      </c>
      <c r="D20" s="16">
        <v>0</v>
      </c>
      <c r="E20" s="16">
        <v>0</v>
      </c>
      <c r="F20" s="16">
        <v>0</v>
      </c>
      <c r="G20" s="16" t="s">
        <v>1033</v>
      </c>
      <c r="H20" s="16">
        <f>622-$U$8</f>
        <v>617</v>
      </c>
      <c r="I20" s="16">
        <f t="shared" si="1"/>
        <v>20.229508196721312</v>
      </c>
      <c r="J20" s="14">
        <v>100000</v>
      </c>
      <c r="K20" s="14">
        <v>70000</v>
      </c>
      <c r="L20" s="14">
        <f>B20*(1+$T$2/36500)^H20</f>
        <v>100000</v>
      </c>
      <c r="N20">
        <v>98</v>
      </c>
      <c r="O20" s="9">
        <v>7</v>
      </c>
      <c r="P20">
        <f t="shared" si="4"/>
        <v>1185</v>
      </c>
      <c r="Q20" s="3">
        <f t="shared" si="3"/>
        <v>119974.64181327351</v>
      </c>
      <c r="R20" s="3">
        <f>P20+R19*(1+$T$2/1200)</f>
        <v>26521.340798443376</v>
      </c>
      <c r="V20" s="25"/>
      <c r="W20" s="26"/>
    </row>
    <row r="21" spans="1:23" x14ac:dyDescent="0.25">
      <c r="A21" s="11" t="s">
        <v>1018</v>
      </c>
      <c r="B21" s="43">
        <f>J21/(1+($T$2-D21+E21)/36500)^H21</f>
        <v>86167.517296725622</v>
      </c>
      <c r="C21" s="43">
        <f t="shared" si="0"/>
        <v>87010.623539942841</v>
      </c>
      <c r="D21" s="11">
        <v>0</v>
      </c>
      <c r="E21" s="11">
        <v>0</v>
      </c>
      <c r="F21" s="11">
        <v>0</v>
      </c>
      <c r="G21" s="11" t="s">
        <v>1034</v>
      </c>
      <c r="H21" s="20">
        <f>259-$U$8</f>
        <v>254</v>
      </c>
      <c r="I21" s="20">
        <f t="shared" si="1"/>
        <v>8.3278688524590159</v>
      </c>
      <c r="J21" s="3">
        <v>100000</v>
      </c>
      <c r="K21" s="3">
        <v>86600</v>
      </c>
      <c r="L21" s="3">
        <f>B21*(1+$T$2/36500)^H21</f>
        <v>100000</v>
      </c>
      <c r="N21">
        <v>98</v>
      </c>
      <c r="O21">
        <v>8</v>
      </c>
      <c r="P21">
        <f t="shared" si="4"/>
        <v>1185</v>
      </c>
      <c r="Q21" s="3">
        <f t="shared" si="3"/>
        <v>122132.93563006021</v>
      </c>
      <c r="R21" s="3">
        <f>P21+R20*(1+$T$2/1200)</f>
        <v>28179.304709348951</v>
      </c>
      <c r="V21" s="25"/>
      <c r="W21" s="26"/>
    </row>
    <row r="22" spans="1:23" x14ac:dyDescent="0.25">
      <c r="A22" s="16" t="s">
        <v>1019</v>
      </c>
      <c r="B22" s="14">
        <f>J22/(1+($T$2-D22+E22)/36500)^H22</f>
        <v>67128.056321201264</v>
      </c>
      <c r="C22" s="14">
        <f t="shared" si="0"/>
        <v>68900.917334475962</v>
      </c>
      <c r="D22" s="16">
        <v>0</v>
      </c>
      <c r="E22" s="16">
        <v>0</v>
      </c>
      <c r="F22" s="16">
        <v>0</v>
      </c>
      <c r="G22" s="16" t="s">
        <v>1035</v>
      </c>
      <c r="H22" s="16">
        <f>685-$U$8</f>
        <v>680</v>
      </c>
      <c r="I22" s="16">
        <f t="shared" si="1"/>
        <v>22.295081967213115</v>
      </c>
      <c r="J22" s="14">
        <v>100000</v>
      </c>
      <c r="K22" s="14">
        <v>68000</v>
      </c>
      <c r="L22" s="14">
        <f>B22*(1+$T$2/36500)^H22</f>
        <v>100000</v>
      </c>
      <c r="N22">
        <v>98</v>
      </c>
      <c r="O22" s="9">
        <v>9</v>
      </c>
      <c r="P22">
        <f t="shared" si="4"/>
        <v>1185</v>
      </c>
      <c r="Q22" s="3">
        <f t="shared" si="3"/>
        <v>124330.0562533218</v>
      </c>
      <c r="R22" s="3">
        <f>P22+R21*(1+$T$2/1200)</f>
        <v>29866.835643332342</v>
      </c>
      <c r="V22" s="25"/>
      <c r="W22" s="26"/>
    </row>
    <row r="23" spans="1:23" x14ac:dyDescent="0.25">
      <c r="A23" s="11" t="s">
        <v>1020</v>
      </c>
      <c r="B23" s="43">
        <f>J23/(1+($T$2-D23+E23)/36500)^H23</f>
        <v>68238.826837714019</v>
      </c>
      <c r="C23" s="43">
        <f t="shared" si="0"/>
        <v>69965.884278846643</v>
      </c>
      <c r="D23" s="11">
        <v>0</v>
      </c>
      <c r="E23" s="11">
        <v>0</v>
      </c>
      <c r="F23" s="11">
        <v>0</v>
      </c>
      <c r="G23" s="11" t="s">
        <v>1036</v>
      </c>
      <c r="H23" s="20">
        <f>657-$U$8</f>
        <v>652</v>
      </c>
      <c r="I23" s="20">
        <f t="shared" si="1"/>
        <v>21.377049180327869</v>
      </c>
      <c r="J23" s="3">
        <v>100000</v>
      </c>
      <c r="K23" s="3">
        <v>69000</v>
      </c>
      <c r="L23" s="3">
        <f>B23*(1+$T$2/36500)^H23</f>
        <v>100000</v>
      </c>
      <c r="N23">
        <v>98</v>
      </c>
      <c r="O23">
        <v>10</v>
      </c>
      <c r="P23">
        <f t="shared" si="4"/>
        <v>1185</v>
      </c>
      <c r="Q23" s="3">
        <f t="shared" si="3"/>
        <v>126566.70216112894</v>
      </c>
      <c r="R23" s="3">
        <f>P23+R22*(1+$T$2/1200)</f>
        <v>31584.460878971771</v>
      </c>
      <c r="V23" s="25"/>
      <c r="W23" s="26"/>
    </row>
    <row r="24" spans="1:23" x14ac:dyDescent="0.25">
      <c r="A24" s="16" t="s">
        <v>1021</v>
      </c>
      <c r="B24" s="14">
        <f>J24/(1+($T$2-D24+E24)/36500)^H24</f>
        <v>68238.826837714019</v>
      </c>
      <c r="C24" s="14">
        <f t="shared" si="0"/>
        <v>69965.884278846643</v>
      </c>
      <c r="D24" s="16">
        <v>0</v>
      </c>
      <c r="E24" s="16">
        <v>0</v>
      </c>
      <c r="F24" s="16">
        <v>0</v>
      </c>
      <c r="G24" s="16" t="s">
        <v>1036</v>
      </c>
      <c r="H24" s="16">
        <f>657-$U$8</f>
        <v>652</v>
      </c>
      <c r="I24" s="16">
        <f t="shared" si="1"/>
        <v>21.377049180327869</v>
      </c>
      <c r="J24" s="14">
        <v>100000</v>
      </c>
      <c r="K24" s="14">
        <v>69000</v>
      </c>
      <c r="L24" s="14">
        <f>B24*(1+$T$2/36500)^H24</f>
        <v>100000</v>
      </c>
      <c r="N24">
        <v>98</v>
      </c>
      <c r="O24">
        <v>11</v>
      </c>
      <c r="P24">
        <f t="shared" si="4"/>
        <v>1185</v>
      </c>
      <c r="Q24" s="3">
        <f t="shared" si="3"/>
        <v>128843.58439688174</v>
      </c>
      <c r="R24" s="3">
        <f>P24+R23*(1+$T$2/1200)</f>
        <v>33332.717097980101</v>
      </c>
      <c r="V24" s="25"/>
      <c r="W24" s="26"/>
    </row>
    <row r="25" spans="1:23" x14ac:dyDescent="0.25">
      <c r="A25" s="11" t="s">
        <v>1022</v>
      </c>
      <c r="B25" s="43">
        <f>J25/(1+($T$2-D25+E25)/36500)^H25</f>
        <v>70515.811891394638</v>
      </c>
      <c r="C25" s="43">
        <f t="shared" si="0"/>
        <v>72145.454572576287</v>
      </c>
      <c r="D25" s="11">
        <v>0</v>
      </c>
      <c r="E25" s="11">
        <v>0</v>
      </c>
      <c r="F25" s="11">
        <v>0</v>
      </c>
      <c r="G25" s="11" t="s">
        <v>1026</v>
      </c>
      <c r="H25" s="20">
        <f>601-$U$8</f>
        <v>596</v>
      </c>
      <c r="I25" s="20">
        <f t="shared" si="1"/>
        <v>19.540983606557376</v>
      </c>
      <c r="J25" s="3">
        <v>100000</v>
      </c>
      <c r="K25" s="3">
        <v>70500</v>
      </c>
      <c r="L25" s="3">
        <f>B25*(1+$T$2/36500)^H25</f>
        <v>100000</v>
      </c>
      <c r="N25">
        <v>98</v>
      </c>
      <c r="O25">
        <v>12</v>
      </c>
      <c r="P25">
        <f t="shared" si="4"/>
        <v>1185</v>
      </c>
      <c r="Q25" s="3">
        <f t="shared" si="3"/>
        <v>131161.42679535478</v>
      </c>
      <c r="R25" s="3">
        <f>P25+R24*(1+$T$2/1200)</f>
        <v>35112.150552894083</v>
      </c>
      <c r="V25" s="25"/>
      <c r="W25" s="26"/>
    </row>
    <row r="26" spans="1:23" x14ac:dyDescent="0.25">
      <c r="A26" s="16" t="s">
        <v>1000</v>
      </c>
      <c r="B26" s="14">
        <f>J26/(1+($T$2-D26+E26)/36500)^H26</f>
        <v>92723.228424007873</v>
      </c>
      <c r="C26" s="14">
        <f t="shared" si="0"/>
        <v>97332.952226969035</v>
      </c>
      <c r="D26" s="16">
        <v>20</v>
      </c>
      <c r="E26" s="16">
        <f>$Z$2</f>
        <v>0.78</v>
      </c>
      <c r="F26" s="16">
        <v>6</v>
      </c>
      <c r="G26" s="16" t="s">
        <v>1004</v>
      </c>
      <c r="H26" s="16">
        <f>1270-$U$8</f>
        <v>1265</v>
      </c>
      <c r="I26" s="16">
        <f t="shared" si="1"/>
        <v>41.475409836065573</v>
      </c>
      <c r="J26" s="14">
        <v>100000</v>
      </c>
      <c r="K26" s="14">
        <v>100000</v>
      </c>
      <c r="L26" s="14">
        <f>B26*(1+$T$2/36500)^H26</f>
        <v>194624.66597161093</v>
      </c>
      <c r="N26">
        <v>99</v>
      </c>
      <c r="O26">
        <v>1</v>
      </c>
      <c r="P26">
        <f t="shared" si="4"/>
        <v>1185</v>
      </c>
      <c r="Q26" s="3">
        <f t="shared" si="3"/>
        <v>133520.96621280871</v>
      </c>
      <c r="R26" s="3">
        <f>P26+R25*(1+$T$2/1200)</f>
        <v>36923.317237754032</v>
      </c>
      <c r="V26" s="25"/>
      <c r="W26" s="26"/>
    </row>
    <row r="27" spans="1:23" x14ac:dyDescent="0.25">
      <c r="A27" s="20" t="s">
        <v>1005</v>
      </c>
      <c r="B27" s="43">
        <f>J27/(1+($T$2-D27+E27)/36500)^H27</f>
        <v>99732.633063258996</v>
      </c>
      <c r="C27" s="43">
        <f t="shared" si="0"/>
        <v>101076.67541929842</v>
      </c>
      <c r="D27" s="20">
        <v>22</v>
      </c>
      <c r="E27" s="20">
        <f>Z1</f>
        <v>0.88</v>
      </c>
      <c r="F27" s="20">
        <v>3</v>
      </c>
      <c r="G27" s="20" t="s">
        <v>1006</v>
      </c>
      <c r="H27" s="20">
        <f>354-$U$8</f>
        <v>349</v>
      </c>
      <c r="I27" s="20">
        <f t="shared" si="1"/>
        <v>11.442622950819672</v>
      </c>
      <c r="J27" s="43">
        <v>100000</v>
      </c>
      <c r="K27" s="43">
        <v>103000</v>
      </c>
      <c r="L27" s="3">
        <f>B27*(1+$T$2/36500)^H27</f>
        <v>122370.35625030873</v>
      </c>
      <c r="N27">
        <v>99</v>
      </c>
      <c r="O27">
        <v>2</v>
      </c>
      <c r="P27">
        <f t="shared" si="4"/>
        <v>1185</v>
      </c>
      <c r="Q27" s="3">
        <f t="shared" si="3"/>
        <v>135922.95276124121</v>
      </c>
      <c r="R27" s="3">
        <f>P27+R26*(1+$T$2/1200)</f>
        <v>38766.783061827315</v>
      </c>
      <c r="V27" s="25"/>
      <c r="W27" s="26"/>
    </row>
    <row r="28" spans="1:23" x14ac:dyDescent="0.25">
      <c r="A28" s="16" t="s">
        <v>1031</v>
      </c>
      <c r="B28" s="14">
        <f>J28/(1+($T$2-D28+E28)/36500)^H28</f>
        <v>99159.71926793232</v>
      </c>
      <c r="C28" s="14">
        <f t="shared" si="0"/>
        <v>102132.02768863362</v>
      </c>
      <c r="D28" s="16">
        <v>21</v>
      </c>
      <c r="E28" s="16">
        <v>0</v>
      </c>
      <c r="F28" s="16">
        <v>1</v>
      </c>
      <c r="G28" s="16" t="s">
        <v>1032</v>
      </c>
      <c r="H28" s="16">
        <f>775-$U$8</f>
        <v>770</v>
      </c>
      <c r="I28" s="16">
        <f t="shared" si="1"/>
        <v>25.245901639344261</v>
      </c>
      <c r="J28" s="14">
        <v>100000</v>
      </c>
      <c r="K28" s="14">
        <v>104000</v>
      </c>
      <c r="L28" s="14">
        <f>B28*(1+$T$2/36500)^H28</f>
        <v>155718.77236135365</v>
      </c>
      <c r="N28">
        <v>99</v>
      </c>
      <c r="O28">
        <v>3</v>
      </c>
      <c r="P28">
        <f t="shared" si="4"/>
        <v>1185</v>
      </c>
      <c r="Q28" s="3">
        <f t="shared" si="3"/>
        <v>138368.15004685227</v>
      </c>
      <c r="R28" s="3">
        <f>P28+R27*(1+$T$2/1200)</f>
        <v>40643.124026429905</v>
      </c>
      <c r="V28" s="25"/>
      <c r="W28" s="26"/>
    </row>
    <row r="29" spans="1:23" x14ac:dyDescent="0.25">
      <c r="A29" s="20" t="s">
        <v>1089</v>
      </c>
      <c r="B29" s="43">
        <f>J29/(1+($T$2-D29+E29)/36500)^H29</f>
        <v>82847.413497688525</v>
      </c>
      <c r="C29" s="43">
        <f t="shared" si="0"/>
        <v>87169.505000634599</v>
      </c>
      <c r="D29" s="20">
        <v>17</v>
      </c>
      <c r="E29" s="20">
        <f>Z2</f>
        <v>0.78</v>
      </c>
      <c r="F29" s="20">
        <v>6</v>
      </c>
      <c r="G29" s="20" t="s">
        <v>1090</v>
      </c>
      <c r="H29" s="20">
        <f>1331-$U$8</f>
        <v>1326</v>
      </c>
      <c r="I29" s="20">
        <f t="shared" si="1"/>
        <v>43.475409836065573</v>
      </c>
      <c r="J29" s="43">
        <v>100000</v>
      </c>
      <c r="K29" s="43"/>
      <c r="L29" s="3">
        <f>B29*(1+$T$2/36500)^H29</f>
        <v>180225.40617226105</v>
      </c>
      <c r="N29">
        <v>99</v>
      </c>
      <c r="O29">
        <v>4</v>
      </c>
      <c r="P29">
        <f t="shared" si="4"/>
        <v>1185</v>
      </c>
      <c r="Q29" s="3">
        <f t="shared" si="3"/>
        <v>140857.33541279926</v>
      </c>
      <c r="R29" s="3">
        <f>P29+R28*(1+$T$2/1200)</f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6"/>
      <c r="J30" s="26"/>
      <c r="K30" s="26"/>
      <c r="N30">
        <v>99</v>
      </c>
      <c r="O30">
        <v>5</v>
      </c>
      <c r="P30">
        <f t="shared" si="4"/>
        <v>1185</v>
      </c>
      <c r="Q30" s="3">
        <f t="shared" si="3"/>
        <v>143391.30018631907</v>
      </c>
      <c r="R30" s="3">
        <f>P30+R29*(1+$T$2/1200)</f>
        <v>44496.786925788649</v>
      </c>
      <c r="U30" s="25"/>
      <c r="V30" s="26"/>
    </row>
    <row r="31" spans="1:23" x14ac:dyDescent="0.25">
      <c r="N31">
        <v>99</v>
      </c>
      <c r="O31">
        <v>6</v>
      </c>
      <c r="P31">
        <f t="shared" si="4"/>
        <v>1185</v>
      </c>
      <c r="Q31" s="3">
        <f t="shared" si="3"/>
        <v>145970.84993029587</v>
      </c>
      <c r="R31" s="3">
        <f>P31+R30*(1+$T$2/1200)</f>
        <v>46475.31295929855</v>
      </c>
      <c r="U31" s="25"/>
      <c r="V31" s="26"/>
    </row>
    <row r="32" spans="1:23" x14ac:dyDescent="0.25">
      <c r="N32">
        <v>99</v>
      </c>
      <c r="O32">
        <v>7</v>
      </c>
      <c r="P32">
        <f t="shared" si="4"/>
        <v>1185</v>
      </c>
      <c r="Q32" s="3">
        <f t="shared" si="3"/>
        <v>148596.8046993544</v>
      </c>
      <c r="R32" s="3">
        <f>P32+R31*(1+$T$2/1200)</f>
        <v>48489.122707072711</v>
      </c>
      <c r="U32" s="25"/>
      <c r="V32" s="26"/>
    </row>
    <row r="33" spans="10:22" x14ac:dyDescent="0.25">
      <c r="J33" t="s">
        <v>25</v>
      </c>
      <c r="N33">
        <v>99</v>
      </c>
      <c r="O33">
        <v>8</v>
      </c>
      <c r="P33">
        <f t="shared" si="4"/>
        <v>1185</v>
      </c>
      <c r="Q33" s="3">
        <f t="shared" si="3"/>
        <v>151269.99930056048</v>
      </c>
      <c r="R33" s="3">
        <f>P33+R32*(1+$T$2/1200)</f>
        <v>50538.845395348842</v>
      </c>
      <c r="U33" s="25"/>
      <c r="V33" s="26"/>
    </row>
    <row r="34" spans="10:22" x14ac:dyDescent="0.25">
      <c r="K34" t="s">
        <v>25</v>
      </c>
      <c r="N34">
        <v>99</v>
      </c>
      <c r="O34" s="9">
        <v>9</v>
      </c>
      <c r="P34">
        <f t="shared" si="4"/>
        <v>1185</v>
      </c>
      <c r="Q34" s="3">
        <f>Q33*(1+($T$2+0.1875)/1200)</f>
        <v>153991.28355881118</v>
      </c>
      <c r="R34" s="3">
        <f>P34+R33*(1+$T$2/1200)</f>
        <v>52625.121471565901</v>
      </c>
      <c r="U34" s="25"/>
      <c r="V34" s="26"/>
    </row>
    <row r="35" spans="10:22" x14ac:dyDescent="0.25">
      <c r="N35">
        <v>99</v>
      </c>
      <c r="O35">
        <v>10</v>
      </c>
      <c r="P35">
        <f t="shared" si="4"/>
        <v>1185</v>
      </c>
      <c r="Q35" s="3">
        <f t="shared" si="3"/>
        <v>156761.52258699934</v>
      </c>
      <c r="R35" s="3">
        <f>P35+R34*(1+$T$2/1200)</f>
        <v>54748.602804475493</v>
      </c>
      <c r="U35" s="25"/>
      <c r="V35" s="26"/>
    </row>
    <row r="36" spans="10:22" x14ac:dyDescent="0.25">
      <c r="N36">
        <v>99</v>
      </c>
      <c r="O36">
        <v>11</v>
      </c>
      <c r="P36">
        <f t="shared" si="4"/>
        <v>1185</v>
      </c>
      <c r="Q36" s="3">
        <f t="shared" si="3"/>
        <v>159581.59706103837</v>
      </c>
      <c r="R36" s="3">
        <f>P36+R35*(1+$T$2/1200)</f>
        <v>56909.952887821972</v>
      </c>
      <c r="U36" s="25"/>
      <c r="V36" s="26"/>
    </row>
    <row r="37" spans="10:22" x14ac:dyDescent="0.25">
      <c r="N37">
        <v>99</v>
      </c>
      <c r="O37">
        <v>12</v>
      </c>
      <c r="P37">
        <f t="shared" si="4"/>
        <v>1185</v>
      </c>
      <c r="Q37" s="3">
        <f t="shared" si="3"/>
        <v>162452.40349983433</v>
      </c>
      <c r="R37" s="3">
        <f>P37+R36*(1+$T$2/1200)</f>
        <v>59109.847047654795</v>
      </c>
      <c r="U37" s="25"/>
      <c r="V37" s="26"/>
    </row>
    <row r="38" spans="10:22" x14ac:dyDescent="0.25">
      <c r="N38">
        <v>100</v>
      </c>
      <c r="O38">
        <v>1</v>
      </c>
      <c r="P38">
        <f t="shared" si="4"/>
        <v>1185</v>
      </c>
      <c r="Q38" s="3">
        <f t="shared" si="3"/>
        <v>165374.85455029487</v>
      </c>
      <c r="R38" s="3">
        <f>P38+R37*(1+$T$2/1200)</f>
        <v>61348.972653337973</v>
      </c>
      <c r="U38" s="25"/>
      <c r="V38" s="26"/>
    </row>
    <row r="39" spans="10:22" x14ac:dyDescent="0.25">
      <c r="N39">
        <v>100</v>
      </c>
      <c r="O39">
        <v>2</v>
      </c>
      <c r="P39">
        <f t="shared" si="4"/>
        <v>1185</v>
      </c>
      <c r="Q39" s="3">
        <f t="shared" si="3"/>
        <v>168349.87927746525</v>
      </c>
      <c r="R39" s="3">
        <f>P39+R38*(1+$T$2/1200)</f>
        <v>63628.029332322505</v>
      </c>
      <c r="U39" s="25"/>
      <c r="V39" s="26"/>
    </row>
    <row r="40" spans="10:22" x14ac:dyDescent="0.25">
      <c r="N40">
        <v>100</v>
      </c>
      <c r="O40">
        <v>3</v>
      </c>
      <c r="P40">
        <f t="shared" si="4"/>
        <v>1185</v>
      </c>
      <c r="Q40" s="3">
        <f t="shared" si="3"/>
        <v>171378.42345988381</v>
      </c>
      <c r="R40" s="3">
        <f>P40+R39*(1+$T$2/1200)</f>
        <v>65947.729188748926</v>
      </c>
      <c r="U40" s="25"/>
      <c r="V40" s="26"/>
    </row>
    <row r="41" spans="10:22" x14ac:dyDescent="0.25">
      <c r="N41">
        <v>100</v>
      </c>
      <c r="O41">
        <v>4</v>
      </c>
      <c r="P41">
        <f t="shared" si="4"/>
        <v>1185</v>
      </c>
      <c r="Q41" s="3">
        <f t="shared" si="3"/>
        <v>174461.44989025066</v>
      </c>
      <c r="R41" s="3">
        <f>P41+R40*(1+$T$2/1200)</f>
        <v>68308.797025948283</v>
      </c>
      <c r="U41" s="25"/>
      <c r="V41" s="26"/>
    </row>
    <row r="42" spans="10:22" x14ac:dyDescent="0.25">
      <c r="N42">
        <v>100</v>
      </c>
      <c r="O42">
        <v>5</v>
      </c>
      <c r="P42">
        <f t="shared" si="4"/>
        <v>1185</v>
      </c>
      <c r="Q42" s="3">
        <f t="shared" si="3"/>
        <v>177599.93868150547</v>
      </c>
      <c r="R42" s="3">
        <f>P42+R41*(1+$T$2/1200)</f>
        <v>70711.970572911028</v>
      </c>
      <c r="U42" s="25"/>
      <c r="V42" s="26"/>
    </row>
    <row r="43" spans="10:22" x14ac:dyDescent="0.25">
      <c r="N43">
        <v>100</v>
      </c>
      <c r="O43" s="9">
        <v>6</v>
      </c>
      <c r="P43">
        <f t="shared" si="4"/>
        <v>1185</v>
      </c>
      <c r="Q43" s="3">
        <f t="shared" si="3"/>
        <v>180794.88757841129</v>
      </c>
      <c r="R43" s="3">
        <f>P43+R42*(1+$T$2/1200)</f>
        <v>73158.000714794616</v>
      </c>
      <c r="U43" s="25"/>
      <c r="V43" s="26"/>
    </row>
    <row r="44" spans="10:22" x14ac:dyDescent="0.25">
      <c r="N44">
        <v>100</v>
      </c>
      <c r="O44">
        <v>7</v>
      </c>
      <c r="P44">
        <f t="shared" si="4"/>
        <v>1185</v>
      </c>
      <c r="Q44" s="3">
        <f t="shared" si="3"/>
        <v>184047.31227474374</v>
      </c>
      <c r="R44" s="3">
        <f>P44+R43*(1+$T$2/1200)</f>
        <v>75647.651727541786</v>
      </c>
      <c r="U44" s="25"/>
      <c r="V44" s="26"/>
    </row>
    <row r="45" spans="10:22" x14ac:dyDescent="0.25">
      <c r="N45">
        <v>100</v>
      </c>
      <c r="O45">
        <v>8</v>
      </c>
      <c r="P45">
        <f t="shared" si="4"/>
        <v>1185</v>
      </c>
      <c r="Q45" s="3">
        <f t="shared" si="3"/>
        <v>187358.24673618624</v>
      </c>
      <c r="R45" s="3">
        <f>P45+R44*(1+$T$2/1200)</f>
        <v>78181.701516682951</v>
      </c>
      <c r="U45" s="25"/>
      <c r="V45" s="26"/>
    </row>
    <row r="46" spans="10:22" x14ac:dyDescent="0.25">
      <c r="N46">
        <v>100</v>
      </c>
      <c r="O46">
        <v>9</v>
      </c>
      <c r="P46">
        <f t="shared" si="4"/>
        <v>1185</v>
      </c>
      <c r="Q46" s="3">
        <f t="shared" si="3"/>
        <v>190728.74352903408</v>
      </c>
      <c r="R46" s="3">
        <f>P46+R45*(1+$T$2/1200)</f>
        <v>80760.941860397128</v>
      </c>
      <c r="U46" s="25"/>
      <c r="V46" s="26"/>
    </row>
    <row r="47" spans="10:22" x14ac:dyDescent="0.25">
      <c r="N47">
        <v>100</v>
      </c>
      <c r="O47">
        <v>10</v>
      </c>
      <c r="P47">
        <f t="shared" si="4"/>
        <v>1185</v>
      </c>
      <c r="Q47" s="3">
        <f t="shared" si="3"/>
        <v>194159.87415481158</v>
      </c>
      <c r="R47" s="3">
        <f>P47+R46*(1+$T$2/1200)</f>
        <v>83386.178656907548</v>
      </c>
      <c r="U47" s="25"/>
      <c r="V47" s="26"/>
    </row>
    <row r="48" spans="10:22" x14ac:dyDescent="0.25">
      <c r="N48">
        <v>100</v>
      </c>
      <c r="O48">
        <v>11</v>
      </c>
      <c r="P48">
        <f t="shared" si="4"/>
        <v>1185</v>
      </c>
      <c r="Q48" s="3">
        <f t="shared" si="3"/>
        <v>197652.72939090905</v>
      </c>
      <c r="R48" s="3">
        <f>P48+R47*(1+$T$2/1200)</f>
        <v>86058.232176289064</v>
      </c>
      <c r="U48" s="25"/>
      <c r="V48" s="26"/>
    </row>
    <row r="49" spans="14:22" x14ac:dyDescent="0.25">
      <c r="N49">
        <v>100</v>
      </c>
      <c r="O49">
        <v>12</v>
      </c>
      <c r="P49">
        <f t="shared" si="4"/>
        <v>1185</v>
      </c>
      <c r="Q49" s="3">
        <f t="shared" si="3"/>
        <v>201208.41963734757</v>
      </c>
      <c r="R49" s="3">
        <f>P49+R48*(1+$T$2/1200)</f>
        <v>88777.937316766227</v>
      </c>
      <c r="U49" s="25"/>
      <c r="V49" s="26"/>
    </row>
    <row r="50" spans="14:22" x14ac:dyDescent="0.25">
      <c r="U50" s="25"/>
      <c r="V50" s="26"/>
    </row>
    <row r="51" spans="14:22" x14ac:dyDescent="0.25">
      <c r="U51" s="25"/>
      <c r="V51" s="26"/>
    </row>
    <row r="52" spans="14:22" x14ac:dyDescent="0.25">
      <c r="U52" s="25"/>
      <c r="V52" s="26"/>
    </row>
    <row r="53" spans="14:22" x14ac:dyDescent="0.25">
      <c r="U53" s="25"/>
      <c r="V53" s="26"/>
    </row>
    <row r="54" spans="14:22" x14ac:dyDescent="0.25">
      <c r="U54" s="25"/>
      <c r="V54" s="26"/>
    </row>
    <row r="55" spans="14:22" x14ac:dyDescent="0.25">
      <c r="U55" s="25"/>
      <c r="V55" s="26"/>
    </row>
    <row r="56" spans="14:22" x14ac:dyDescent="0.25">
      <c r="U56" s="25"/>
      <c r="V56" s="26"/>
    </row>
    <row r="57" spans="14:22" x14ac:dyDescent="0.25">
      <c r="U57" s="25"/>
      <c r="V57" s="26"/>
    </row>
    <row r="58" spans="14:22" x14ac:dyDescent="0.25">
      <c r="U58" s="25"/>
      <c r="V58" s="26"/>
    </row>
    <row r="59" spans="14:22" x14ac:dyDescent="0.25">
      <c r="U59" s="25"/>
      <c r="V59" s="26"/>
    </row>
    <row r="60" spans="14:22" x14ac:dyDescent="0.25">
      <c r="U60" s="25"/>
      <c r="V60" s="26"/>
    </row>
    <row r="61" spans="14:22" x14ac:dyDescent="0.25">
      <c r="U61" s="25"/>
      <c r="V61" s="26"/>
    </row>
    <row r="62" spans="14:22" x14ac:dyDescent="0.25">
      <c r="U62" s="25"/>
      <c r="V62" s="26"/>
    </row>
    <row r="63" spans="14:22" x14ac:dyDescent="0.25">
      <c r="U63" s="25"/>
      <c r="V63" s="26"/>
    </row>
    <row r="64" spans="14:22" x14ac:dyDescent="0.25">
      <c r="U64" s="25"/>
      <c r="V64" s="26"/>
    </row>
    <row r="65" spans="21:22" x14ac:dyDescent="0.25">
      <c r="U65" s="25"/>
      <c r="V65" s="26"/>
    </row>
    <row r="66" spans="21:22" x14ac:dyDescent="0.25">
      <c r="U66" s="25"/>
      <c r="V66" s="26"/>
    </row>
    <row r="67" spans="21:22" x14ac:dyDescent="0.25">
      <c r="U67" s="25"/>
      <c r="V67" s="26"/>
    </row>
    <row r="68" spans="21:22" x14ac:dyDescent="0.25">
      <c r="U68" s="25"/>
      <c r="V68" s="26"/>
    </row>
    <row r="69" spans="21:22" x14ac:dyDescent="0.25">
      <c r="U69" s="25"/>
      <c r="V69" s="26"/>
    </row>
    <row r="70" spans="21:22" x14ac:dyDescent="0.25">
      <c r="U70" s="25"/>
      <c r="V70" s="26"/>
    </row>
    <row r="71" spans="21:22" x14ac:dyDescent="0.25">
      <c r="U71" s="25"/>
      <c r="V71" s="26"/>
    </row>
    <row r="72" spans="21:22" x14ac:dyDescent="0.25">
      <c r="U72" s="25"/>
      <c r="V72" s="26"/>
    </row>
    <row r="73" spans="21:22" x14ac:dyDescent="0.25">
      <c r="U73" s="25"/>
      <c r="V73" s="26"/>
    </row>
    <row r="74" spans="21:22" x14ac:dyDescent="0.25">
      <c r="U74" s="25"/>
      <c r="V74" s="26"/>
    </row>
    <row r="75" spans="21:22" x14ac:dyDescent="0.25">
      <c r="U75" s="25"/>
      <c r="V75" s="26"/>
    </row>
    <row r="76" spans="21:22" x14ac:dyDescent="0.25">
      <c r="U76" s="25"/>
      <c r="V76" s="26"/>
    </row>
    <row r="77" spans="21:22" x14ac:dyDescent="0.25">
      <c r="U77" s="25"/>
      <c r="V77" s="26"/>
    </row>
    <row r="78" spans="21:22" x14ac:dyDescent="0.25">
      <c r="U78" s="25"/>
      <c r="V78" s="26"/>
    </row>
    <row r="79" spans="21:22" x14ac:dyDescent="0.25">
      <c r="U79" s="25"/>
      <c r="V79" s="26"/>
    </row>
    <row r="80" spans="21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3" sqref="C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491</v>
      </c>
      <c r="B62" s="3">
        <v>-161000</v>
      </c>
      <c r="C62" s="11" t="s">
        <v>1093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254456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L26</f>
        <v>91134388.962500006</v>
      </c>
      <c r="G15" s="29">
        <f t="shared" si="0"/>
        <v>1865611.037499994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254456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-7550000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874000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7550000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2" t="s">
        <v>599</v>
      </c>
      <c r="L26" s="3">
        <f>SUM(L16:L24)</f>
        <v>91134388.962500006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600</v>
      </c>
      <c r="L27" s="3">
        <f>L16+L17+L20</f>
        <v>3228103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56" t="s">
        <v>719</v>
      </c>
      <c r="L28" s="1">
        <f>L26+N7</f>
        <v>148134388.96250001</v>
      </c>
      <c r="M28" s="29" t="s">
        <v>6</v>
      </c>
      <c r="N28" s="29">
        <f>SUM(N16:N27)</f>
        <v>154458003.5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8">
        <v>1200000</v>
      </c>
      <c r="L65" s="48" t="s">
        <v>1084</v>
      </c>
    </row>
    <row r="66" spans="1:12" x14ac:dyDescent="0.25">
      <c r="K66" s="47">
        <v>500000</v>
      </c>
      <c r="L66" s="48" t="s">
        <v>480</v>
      </c>
    </row>
    <row r="67" spans="1:12" x14ac:dyDescent="0.25">
      <c r="A67" t="s">
        <v>25</v>
      </c>
      <c r="K67" s="47">
        <v>130000</v>
      </c>
      <c r="L67" s="48" t="s">
        <v>559</v>
      </c>
    </row>
    <row r="68" spans="1:12" x14ac:dyDescent="0.25">
      <c r="K68" s="47">
        <v>300000</v>
      </c>
      <c r="L68" s="48" t="s">
        <v>796</v>
      </c>
    </row>
    <row r="69" spans="1:12" x14ac:dyDescent="0.25">
      <c r="K69" s="47">
        <v>500000</v>
      </c>
      <c r="L69" s="48" t="s">
        <v>797</v>
      </c>
    </row>
    <row r="70" spans="1:12" x14ac:dyDescent="0.25">
      <c r="K70" s="47">
        <v>500000</v>
      </c>
      <c r="L70" s="48" t="s">
        <v>798</v>
      </c>
    </row>
    <row r="71" spans="1:12" x14ac:dyDescent="0.25">
      <c r="K71" s="47">
        <v>75000</v>
      </c>
      <c r="L71" s="48" t="s">
        <v>799</v>
      </c>
    </row>
    <row r="72" spans="1:12" x14ac:dyDescent="0.25">
      <c r="K72" s="47">
        <v>450000</v>
      </c>
      <c r="L72" s="48" t="s">
        <v>801</v>
      </c>
    </row>
    <row r="73" spans="1:12" x14ac:dyDescent="0.25">
      <c r="K73" s="47">
        <v>500000</v>
      </c>
      <c r="L73" s="48" t="s">
        <v>565</v>
      </c>
    </row>
    <row r="74" spans="1:12" x14ac:dyDescent="0.25">
      <c r="K74" s="47">
        <v>50000</v>
      </c>
      <c r="L74" s="48" t="s">
        <v>804</v>
      </c>
    </row>
    <row r="75" spans="1:12" x14ac:dyDescent="0.25">
      <c r="K75" s="47">
        <v>140000</v>
      </c>
      <c r="L75" s="48" t="s">
        <v>315</v>
      </c>
    </row>
    <row r="76" spans="1:12" x14ac:dyDescent="0.25">
      <c r="K76" s="47"/>
      <c r="L76" s="48" t="s">
        <v>25</v>
      </c>
    </row>
    <row r="77" spans="1:12" x14ac:dyDescent="0.25">
      <c r="K77" s="47">
        <f>SUM(K65:K76)</f>
        <v>4345000</v>
      </c>
      <c r="L77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2018-03-23T00:52:20Z</dcterms:modified>
</cp:coreProperties>
</file>