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5"/>
  </bookViews>
  <sheets>
    <sheet name="اردیبهشت 97" sheetId="38" r:id="rId1"/>
    <sheet name="سارا" sheetId="20" r:id="rId2"/>
    <sheet name="مسکن علی سید الشهدا" sheetId="16" r:id="rId3"/>
    <sheet name="مسکن ایلیا" sheetId="15" r:id="rId4"/>
    <sheet name="مسکن مریم یاران" sheetId="13" r:id="rId5"/>
    <sheet name="برنامه 5 ساله" sheetId="18" r:id="rId6"/>
    <sheet name="مسکن مریم سید الشهدا" sheetId="14" r:id="rId7"/>
    <sheet name="بدهی خانه" sheetId="10" r:id="rId8"/>
    <sheet name="اردیبهشت95" sheetId="5" r:id="rId9"/>
    <sheet name="خرداد 95" sheetId="4" r:id="rId10"/>
    <sheet name="تیرماه95" sheetId="2" r:id="rId11"/>
    <sheet name="مرداد 95" sheetId="3" r:id="rId12"/>
    <sheet name="شهریور 95" sheetId="6" r:id="rId13"/>
    <sheet name="مهر 95" sheetId="7" r:id="rId14"/>
    <sheet name="آبان 95" sheetId="8" r:id="rId15"/>
    <sheet name="آذر 95" sheetId="9" r:id="rId16"/>
    <sheet name="دی 95" sheetId="11" r:id="rId17"/>
    <sheet name="بهمن 95" sheetId="12" r:id="rId18"/>
    <sheet name="اسفند 95" sheetId="17" r:id="rId19"/>
    <sheet name="فروردین 96" sheetId="19" r:id="rId20"/>
    <sheet name="اردیبهشت 96" sheetId="21" r:id="rId21"/>
    <sheet name="خرداد 96" sheetId="22" r:id="rId22"/>
    <sheet name="تیر 96" sheetId="23" r:id="rId23"/>
    <sheet name="مرداد 96" sheetId="24" r:id="rId24"/>
    <sheet name="شهریور 96" sheetId="25" r:id="rId25"/>
    <sheet name="مهر96" sheetId="26" r:id="rId26"/>
    <sheet name="آبان 96" sheetId="27" r:id="rId27"/>
    <sheet name="آذر 96" sheetId="28" r:id="rId28"/>
    <sheet name="دی 96" sheetId="29" r:id="rId29"/>
    <sheet name="بهمن 96" sheetId="30" r:id="rId30"/>
    <sheet name="اسفند 96" sheetId="31" r:id="rId31"/>
    <sheet name="فروردین 97" sheetId="34" r:id="rId32"/>
    <sheet name="لیست خرید و فروش" sheetId="32" r:id="rId33"/>
    <sheet name="اوراق بدون ریسک" sheetId="33" r:id="rId34"/>
    <sheet name="نکات" sheetId="35" r:id="rId35"/>
    <sheet name="سکه" sheetId="36" r:id="rId36"/>
    <sheet name="bluecard" sheetId="37" r:id="rId37"/>
  </sheets>
  <calcPr calcId="145621"/>
</workbook>
</file>

<file path=xl/calcChain.xml><?xml version="1.0" encoding="utf-8"?>
<calcChain xmlns="http://schemas.openxmlformats.org/spreadsheetml/2006/main">
  <c r="L32" i="18" l="1"/>
  <c r="N32" i="18"/>
  <c r="L58" i="32" l="1"/>
  <c r="I58" i="32"/>
  <c r="O56" i="18" l="1"/>
  <c r="D154" i="20"/>
  <c r="D153" i="20"/>
  <c r="R70" i="32" l="1"/>
  <c r="S70" i="32"/>
  <c r="Q70" i="32"/>
  <c r="N26" i="18"/>
  <c r="D42" i="38"/>
  <c r="I23" i="38"/>
  <c r="H23" i="38"/>
  <c r="G23" i="38"/>
  <c r="H22" i="38"/>
  <c r="G22" i="38"/>
  <c r="D22" i="38"/>
  <c r="I22" i="38" s="1"/>
  <c r="H21" i="38"/>
  <c r="G21" i="38"/>
  <c r="D21" i="38"/>
  <c r="I21" i="38" s="1"/>
  <c r="H20" i="38"/>
  <c r="G20" i="38"/>
  <c r="D20" i="38"/>
  <c r="I20" i="38" s="1"/>
  <c r="H19" i="38"/>
  <c r="G19" i="38"/>
  <c r="D19" i="38"/>
  <c r="I19" i="38" s="1"/>
  <c r="H18" i="38"/>
  <c r="G18" i="38"/>
  <c r="D18" i="38"/>
  <c r="I18" i="38" s="1"/>
  <c r="H17" i="38"/>
  <c r="G17" i="38"/>
  <c r="D17" i="38"/>
  <c r="I17" i="38" s="1"/>
  <c r="H16" i="38"/>
  <c r="G16" i="38"/>
  <c r="D16" i="38"/>
  <c r="I16" i="38" s="1"/>
  <c r="H15" i="38"/>
  <c r="G15" i="38"/>
  <c r="D15" i="38"/>
  <c r="I15" i="38" s="1"/>
  <c r="H14" i="38"/>
  <c r="G14" i="38"/>
  <c r="D14" i="38"/>
  <c r="I14" i="38" s="1"/>
  <c r="H13" i="38"/>
  <c r="G13" i="38"/>
  <c r="D13" i="38"/>
  <c r="I13" i="38" s="1"/>
  <c r="H12" i="38"/>
  <c r="G12" i="38"/>
  <c r="D12" i="38"/>
  <c r="I12" i="38" s="1"/>
  <c r="H11" i="38"/>
  <c r="G11" i="38"/>
  <c r="D11" i="38"/>
  <c r="I11" i="38" s="1"/>
  <c r="H10" i="38"/>
  <c r="G10" i="38"/>
  <c r="D10" i="38"/>
  <c r="I10" i="38" s="1"/>
  <c r="H9" i="38"/>
  <c r="G9" i="38"/>
  <c r="D9" i="38"/>
  <c r="I9" i="38" s="1"/>
  <c r="H8" i="38"/>
  <c r="G8" i="38"/>
  <c r="D8" i="38"/>
  <c r="I8" i="38" s="1"/>
  <c r="H7" i="38"/>
  <c r="G7" i="38"/>
  <c r="D7" i="38"/>
  <c r="I7" i="38" s="1"/>
  <c r="H6" i="38"/>
  <c r="G6" i="38"/>
  <c r="D6" i="38"/>
  <c r="I6" i="38" s="1"/>
  <c r="H5" i="38"/>
  <c r="G5" i="38"/>
  <c r="D5" i="38"/>
  <c r="I5" i="38" s="1"/>
  <c r="H4" i="38"/>
  <c r="G4" i="38"/>
  <c r="D4" i="38"/>
  <c r="I4" i="38" s="1"/>
  <c r="H3" i="38"/>
  <c r="G3" i="38"/>
  <c r="D3" i="38"/>
  <c r="I3" i="38" s="1"/>
  <c r="N2" i="33" l="1"/>
  <c r="K155" i="20" l="1"/>
  <c r="K156" i="20"/>
  <c r="K157" i="20"/>
  <c r="K158" i="20"/>
  <c r="K159" i="20"/>
  <c r="K160" i="20"/>
  <c r="K161" i="20"/>
  <c r="K162" i="20"/>
  <c r="K163" i="20"/>
  <c r="K164" i="20"/>
  <c r="K165" i="20"/>
  <c r="K166" i="20"/>
  <c r="K167" i="20"/>
  <c r="K168" i="20"/>
  <c r="K169" i="20"/>
  <c r="K170" i="20"/>
  <c r="K171" i="20"/>
  <c r="K172" i="20"/>
  <c r="K173" i="20"/>
  <c r="K174" i="20"/>
  <c r="K175" i="20"/>
  <c r="K176" i="20"/>
  <c r="J155" i="20"/>
  <c r="J156" i="20"/>
  <c r="J157" i="20"/>
  <c r="J158" i="20"/>
  <c r="J159" i="20"/>
  <c r="J160" i="20"/>
  <c r="J161" i="20"/>
  <c r="J162" i="20"/>
  <c r="J163" i="20"/>
  <c r="J164" i="20"/>
  <c r="J165" i="20"/>
  <c r="J166" i="20"/>
  <c r="J167" i="20"/>
  <c r="J168" i="20"/>
  <c r="J169" i="20"/>
  <c r="J170" i="20"/>
  <c r="J171" i="20"/>
  <c r="J172" i="20"/>
  <c r="J173" i="20"/>
  <c r="J174" i="20"/>
  <c r="J175" i="20"/>
  <c r="J176" i="20"/>
  <c r="I155" i="20"/>
  <c r="I156" i="20"/>
  <c r="I157" i="20"/>
  <c r="I158" i="20"/>
  <c r="I159" i="20"/>
  <c r="I160" i="20"/>
  <c r="I161" i="20"/>
  <c r="I162" i="20"/>
  <c r="I163" i="20"/>
  <c r="I164" i="20"/>
  <c r="I165" i="20"/>
  <c r="I166" i="20"/>
  <c r="I167" i="20"/>
  <c r="I168" i="20"/>
  <c r="I169" i="20"/>
  <c r="I170" i="20"/>
  <c r="I171" i="20"/>
  <c r="I172" i="20"/>
  <c r="I173" i="20"/>
  <c r="I174" i="20"/>
  <c r="I175" i="20"/>
  <c r="I176" i="20"/>
  <c r="H151" i="20"/>
  <c r="H152" i="20"/>
  <c r="H153" i="20"/>
  <c r="H154" i="20"/>
  <c r="H155" i="20"/>
  <c r="H156" i="20"/>
  <c r="H157" i="20"/>
  <c r="H158" i="20"/>
  <c r="H159" i="20"/>
  <c r="H160" i="20"/>
  <c r="H161" i="20"/>
  <c r="H162" i="20"/>
  <c r="H163" i="20"/>
  <c r="H164" i="20"/>
  <c r="H165" i="20"/>
  <c r="H166" i="20"/>
  <c r="H167" i="20"/>
  <c r="H168" i="20"/>
  <c r="H169" i="20"/>
  <c r="H170" i="20"/>
  <c r="H171" i="20"/>
  <c r="H172" i="20"/>
  <c r="H173" i="20"/>
  <c r="H174" i="20"/>
  <c r="H175" i="20"/>
  <c r="H176" i="20"/>
  <c r="G176" i="20"/>
  <c r="G175" i="20" s="1"/>
  <c r="G174" i="20" s="1"/>
  <c r="G173" i="20" s="1"/>
  <c r="G172" i="20" s="1"/>
  <c r="G171" i="20" s="1"/>
  <c r="G170" i="20" s="1"/>
  <c r="G169" i="20" s="1"/>
  <c r="G168" i="20" s="1"/>
  <c r="G167" i="20" s="1"/>
  <c r="G166" i="20" s="1"/>
  <c r="G165" i="20" s="1"/>
  <c r="G164" i="20" s="1"/>
  <c r="G163" i="20" s="1"/>
  <c r="G162" i="20" s="1"/>
  <c r="G161" i="20" s="1"/>
  <c r="G160" i="20" s="1"/>
  <c r="G159" i="20" s="1"/>
  <c r="G158" i="20" s="1"/>
  <c r="G157" i="20" s="1"/>
  <c r="G156" i="20" s="1"/>
  <c r="G155" i="20" s="1"/>
  <c r="G154" i="20" s="1"/>
  <c r="G153" i="20" s="1"/>
  <c r="G152" i="20" s="1"/>
  <c r="G151" i="20" s="1"/>
  <c r="J151" i="20" s="1"/>
  <c r="AA73" i="18"/>
  <c r="AA70" i="18"/>
  <c r="Z72" i="18"/>
  <c r="AA72" i="18" s="1"/>
  <c r="Z71" i="18"/>
  <c r="AA71" i="18" s="1"/>
  <c r="Z70" i="18"/>
  <c r="G32" i="10"/>
  <c r="B127" i="13"/>
  <c r="K154" i="20" l="1"/>
  <c r="J154" i="20"/>
  <c r="I154" i="20"/>
  <c r="I153" i="20"/>
  <c r="I152" i="20"/>
  <c r="I151" i="20"/>
  <c r="J152" i="20"/>
  <c r="K152" i="20"/>
  <c r="J153" i="20"/>
  <c r="K153" i="20"/>
  <c r="AA75" i="18"/>
  <c r="AA79" i="18" s="1"/>
  <c r="I46" i="32"/>
  <c r="F206" i="15" l="1"/>
  <c r="F207" i="15"/>
  <c r="F208" i="15"/>
  <c r="F209" i="15"/>
  <c r="F210" i="15"/>
  <c r="F211" i="15"/>
  <c r="F212" i="15"/>
  <c r="F213" i="15"/>
  <c r="F214" i="15"/>
  <c r="F215" i="15"/>
  <c r="F216" i="15"/>
  <c r="F217" i="15"/>
  <c r="F218" i="15"/>
  <c r="F219" i="15"/>
  <c r="F220" i="15"/>
  <c r="F221" i="15"/>
  <c r="F222" i="15"/>
  <c r="F223" i="15"/>
  <c r="F224" i="15"/>
  <c r="F225" i="15"/>
  <c r="F226" i="15"/>
  <c r="F227" i="15"/>
  <c r="E196" i="15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E226" i="15"/>
  <c r="E227" i="15"/>
  <c r="D227" i="15"/>
  <c r="D226" i="15" s="1"/>
  <c r="D225" i="15" s="1"/>
  <c r="D224" i="15" s="1"/>
  <c r="D223" i="15" s="1"/>
  <c r="D222" i="15" s="1"/>
  <c r="D221" i="15" s="1"/>
  <c r="D220" i="15" s="1"/>
  <c r="D219" i="15" s="1"/>
  <c r="D218" i="15" s="1"/>
  <c r="D217" i="15" s="1"/>
  <c r="D216" i="15" s="1"/>
  <c r="D215" i="15" s="1"/>
  <c r="D214" i="15" s="1"/>
  <c r="D213" i="15" s="1"/>
  <c r="D212" i="15" s="1"/>
  <c r="D211" i="15" s="1"/>
  <c r="D210" i="15" s="1"/>
  <c r="D209" i="15" s="1"/>
  <c r="D208" i="15" s="1"/>
  <c r="D207" i="15" s="1"/>
  <c r="D206" i="15" s="1"/>
  <c r="D205" i="15" s="1"/>
  <c r="D204" i="15" s="1"/>
  <c r="D203" i="15" s="1"/>
  <c r="D202" i="15" s="1"/>
  <c r="D201" i="15" s="1"/>
  <c r="D200" i="15" s="1"/>
  <c r="D199" i="15" s="1"/>
  <c r="D198" i="15" s="1"/>
  <c r="D197" i="15" s="1"/>
  <c r="D196" i="15" s="1"/>
  <c r="F196" i="15" s="1"/>
  <c r="F205" i="15" l="1"/>
  <c r="F204" i="15"/>
  <c r="F203" i="15"/>
  <c r="F202" i="15"/>
  <c r="F201" i="15"/>
  <c r="F200" i="15"/>
  <c r="F199" i="15"/>
  <c r="F198" i="15"/>
  <c r="F197" i="15"/>
  <c r="E47" i="32"/>
  <c r="M47" i="32" s="1"/>
  <c r="O57" i="18" l="1"/>
  <c r="AD16" i="36" l="1"/>
  <c r="AD17" i="36" s="1"/>
  <c r="AC16" i="36"/>
  <c r="AF15" i="36"/>
  <c r="AE15" i="36"/>
  <c r="AG15" i="36" s="1"/>
  <c r="AH15" i="36" s="1"/>
  <c r="AE16" i="36" l="1"/>
  <c r="AE17" i="36" s="1"/>
  <c r="AG16" i="36"/>
  <c r="AH16" i="36" s="1"/>
  <c r="AC17" i="36"/>
  <c r="AG17" i="36" s="1"/>
  <c r="AH17" i="36" s="1"/>
  <c r="AF16" i="36"/>
  <c r="AE18" i="36"/>
  <c r="G42" i="36"/>
  <c r="AF17" i="36" l="1"/>
  <c r="AG18" i="36"/>
  <c r="AH18" i="36" s="1"/>
  <c r="AE19" i="36"/>
  <c r="Z32" i="32"/>
  <c r="S45" i="32"/>
  <c r="R45" i="32"/>
  <c r="Q45" i="32"/>
  <c r="M45" i="32"/>
  <c r="S43" i="32"/>
  <c r="S41" i="32"/>
  <c r="S39" i="32"/>
  <c r="S37" i="32"/>
  <c r="S35" i="32"/>
  <c r="S33" i="32"/>
  <c r="S31" i="32"/>
  <c r="S29" i="32"/>
  <c r="S27" i="32"/>
  <c r="S25" i="32"/>
  <c r="S23" i="32"/>
  <c r="S21" i="32"/>
  <c r="S19" i="32"/>
  <c r="S17" i="32"/>
  <c r="S15" i="32"/>
  <c r="S13" i="32"/>
  <c r="S11" i="32"/>
  <c r="S9" i="32"/>
  <c r="S7" i="32"/>
  <c r="S5" i="32"/>
  <c r="S3" i="32"/>
  <c r="AC15" i="32"/>
  <c r="B177" i="20"/>
  <c r="AF18" i="36" l="1"/>
  <c r="AF19" i="36"/>
  <c r="N8" i="18"/>
  <c r="AG19" i="36" l="1"/>
  <c r="AH19" i="36" s="1"/>
  <c r="M70" i="32" l="1"/>
  <c r="K47" i="32"/>
  <c r="U47" i="32" s="1"/>
  <c r="K46" i="32"/>
  <c r="U46" i="32" s="1"/>
  <c r="R47" i="32" l="1"/>
  <c r="S47" i="32"/>
  <c r="L46" i="32"/>
  <c r="Q47" i="32"/>
  <c r="H90" i="32"/>
  <c r="F90" i="32"/>
  <c r="G90" i="32" s="1"/>
  <c r="H86" i="32"/>
  <c r="H85" i="32"/>
  <c r="H83" i="32"/>
  <c r="H82" i="32"/>
  <c r="H88" i="32"/>
  <c r="H89" i="32"/>
  <c r="H87" i="32"/>
  <c r="H84" i="32"/>
  <c r="G83" i="32"/>
  <c r="G84" i="32"/>
  <c r="G85" i="32"/>
  <c r="G86" i="32"/>
  <c r="G87" i="32"/>
  <c r="G88" i="32"/>
  <c r="G89" i="32"/>
  <c r="G82" i="32"/>
  <c r="F83" i="32"/>
  <c r="F84" i="32"/>
  <c r="F85" i="32"/>
  <c r="F86" i="32"/>
  <c r="F87" i="32"/>
  <c r="F88" i="32"/>
  <c r="F89" i="32"/>
  <c r="F82" i="32"/>
  <c r="AD15" i="32" l="1"/>
  <c r="AB15" i="32"/>
  <c r="Z34" i="32"/>
  <c r="B6" i="36"/>
  <c r="C6" i="36" s="1"/>
  <c r="D6" i="36" s="1"/>
  <c r="E6" i="36" s="1"/>
  <c r="F6" i="36" s="1"/>
  <c r="C5" i="36"/>
  <c r="D5" i="36" s="1"/>
  <c r="E5" i="36" s="1"/>
  <c r="F5" i="36" s="1"/>
  <c r="B5" i="36"/>
  <c r="L14" i="36"/>
  <c r="L9" i="36"/>
  <c r="G45" i="10"/>
  <c r="D42" i="34"/>
  <c r="AC16" i="32" l="1"/>
  <c r="AD16" i="32"/>
  <c r="AB16" i="32"/>
  <c r="T22" i="36"/>
  <c r="L24" i="18" s="1"/>
  <c r="U22" i="36"/>
  <c r="N25" i="18" s="1"/>
  <c r="S22" i="36"/>
  <c r="W9" i="36"/>
  <c r="W8" i="36" s="1"/>
  <c r="W7" i="36" s="1"/>
  <c r="W6" i="36" s="1"/>
  <c r="W5" i="36" s="1"/>
  <c r="W4" i="36" s="1"/>
  <c r="W3" i="36" s="1"/>
  <c r="W2" i="36" s="1"/>
  <c r="Z2" i="36" s="1"/>
  <c r="Z22" i="36" s="1"/>
  <c r="Y2" i="36" l="1"/>
  <c r="Y22" i="36" s="1"/>
  <c r="X2" i="36"/>
  <c r="X22" i="36" s="1"/>
  <c r="N20" i="36"/>
  <c r="O19" i="36"/>
  <c r="N19" i="36"/>
  <c r="L10" i="36"/>
  <c r="L11" i="36"/>
  <c r="L12" i="36"/>
  <c r="L13" i="36"/>
  <c r="A12" i="36"/>
  <c r="A11" i="36"/>
  <c r="B12" i="36"/>
  <c r="C12" i="36"/>
  <c r="D12" i="36"/>
  <c r="E12" i="36"/>
  <c r="F12" i="36"/>
  <c r="B11" i="36"/>
  <c r="B21" i="36" s="1"/>
  <c r="C11" i="36"/>
  <c r="D11" i="36"/>
  <c r="E11" i="36"/>
  <c r="E21" i="36" s="1"/>
  <c r="F11" i="36"/>
  <c r="F21" i="36" s="1"/>
  <c r="B9" i="36"/>
  <c r="C9" i="36"/>
  <c r="D9" i="36"/>
  <c r="E9" i="36"/>
  <c r="F9" i="36"/>
  <c r="F15" i="36" s="1"/>
  <c r="F19" i="36" s="1"/>
  <c r="A9" i="36"/>
  <c r="B8" i="36"/>
  <c r="C8" i="36"/>
  <c r="D8" i="36"/>
  <c r="E8" i="36"/>
  <c r="F8" i="36"/>
  <c r="A8" i="36"/>
  <c r="D15" i="36" l="1"/>
  <c r="D19" i="36" s="1"/>
  <c r="C15" i="36"/>
  <c r="C19" i="36" s="1"/>
  <c r="A15" i="36"/>
  <c r="A19" i="36" s="1"/>
  <c r="B15" i="36"/>
  <c r="B19" i="36" s="1"/>
  <c r="E15" i="36"/>
  <c r="E19" i="36" s="1"/>
  <c r="A21" i="36"/>
  <c r="A22" i="36"/>
  <c r="D21" i="36"/>
  <c r="D22" i="36" s="1"/>
  <c r="C21" i="36"/>
  <c r="C22" i="36" s="1"/>
  <c r="F22" i="36"/>
  <c r="B22" i="36"/>
  <c r="E14" i="36"/>
  <c r="E22" i="36"/>
  <c r="F14" i="36"/>
  <c r="D14" i="36"/>
  <c r="C14" i="36"/>
  <c r="B14" i="36"/>
  <c r="A14" i="36"/>
  <c r="U8" i="32"/>
  <c r="E18" i="36" l="1"/>
  <c r="E17" i="36"/>
  <c r="B18" i="36"/>
  <c r="B17" i="36"/>
  <c r="C18" i="36"/>
  <c r="C17" i="36"/>
  <c r="D18" i="36"/>
  <c r="D17" i="36"/>
  <c r="F18" i="36"/>
  <c r="F17" i="36"/>
  <c r="A18" i="36"/>
  <c r="A17" i="36"/>
  <c r="G150" i="20"/>
  <c r="G149" i="20" s="1"/>
  <c r="G148" i="20" s="1"/>
  <c r="G147" i="20" s="1"/>
  <c r="G146" i="20" s="1"/>
  <c r="G145" i="20" s="1"/>
  <c r="G144" i="20" s="1"/>
  <c r="G143" i="20" s="1"/>
  <c r="G142" i="20" s="1"/>
  <c r="G141" i="20" s="1"/>
  <c r="G140" i="20" s="1"/>
  <c r="G139" i="20" s="1"/>
  <c r="G138" i="20" s="1"/>
  <c r="G137" i="20" s="1"/>
  <c r="G136" i="20" s="1"/>
  <c r="G135" i="20" s="1"/>
  <c r="G134" i="20" s="1"/>
  <c r="G133" i="20" s="1"/>
  <c r="G132" i="20" s="1"/>
  <c r="G131" i="20" s="1"/>
  <c r="G130" i="20" s="1"/>
  <c r="G129" i="20" s="1"/>
  <c r="G128" i="20" s="1"/>
  <c r="G127" i="20" s="1"/>
  <c r="G126" i="20" s="1"/>
  <c r="G125" i="20" s="1"/>
  <c r="G124" i="20" s="1"/>
  <c r="G123" i="20" s="1"/>
  <c r="G122" i="20" s="1"/>
  <c r="G121" i="20" s="1"/>
  <c r="G120" i="20" s="1"/>
  <c r="G119" i="20" s="1"/>
  <c r="G118" i="20" s="1"/>
  <c r="G117" i="20" s="1"/>
  <c r="G116" i="20" s="1"/>
  <c r="G115" i="20" s="1"/>
  <c r="G114" i="20" s="1"/>
  <c r="G113" i="20" s="1"/>
  <c r="G112" i="20" s="1"/>
  <c r="G111" i="20" s="1"/>
  <c r="G110" i="20" s="1"/>
  <c r="G109" i="20" s="1"/>
  <c r="G108" i="20" s="1"/>
  <c r="G107" i="20" s="1"/>
  <c r="G106" i="20" s="1"/>
  <c r="G105" i="20" s="1"/>
  <c r="G104" i="20" s="1"/>
  <c r="G103" i="20" s="1"/>
  <c r="G102" i="20" s="1"/>
  <c r="G101" i="20" s="1"/>
  <c r="G100" i="20" s="1"/>
  <c r="G99" i="20" s="1"/>
  <c r="G98" i="20" s="1"/>
  <c r="G97" i="20" s="1"/>
  <c r="G96" i="20" s="1"/>
  <c r="G95" i="20" s="1"/>
  <c r="G94" i="20" s="1"/>
  <c r="G93" i="20" s="1"/>
  <c r="G92" i="20" s="1"/>
  <c r="G91" i="20" s="1"/>
  <c r="G90" i="20" s="1"/>
  <c r="G89" i="20" s="1"/>
  <c r="G88" i="20" s="1"/>
  <c r="G87" i="20" s="1"/>
  <c r="G86" i="20" s="1"/>
  <c r="G85" i="20" s="1"/>
  <c r="G84" i="20" s="1"/>
  <c r="G83" i="20" s="1"/>
  <c r="G82" i="20" s="1"/>
  <c r="G81" i="20" s="1"/>
  <c r="G80" i="20" s="1"/>
  <c r="G79" i="20" s="1"/>
  <c r="G78" i="20" s="1"/>
  <c r="G77" i="20" s="1"/>
  <c r="G76" i="20" s="1"/>
  <c r="G75" i="20" s="1"/>
  <c r="G74" i="20" s="1"/>
  <c r="G73" i="20" s="1"/>
  <c r="G72" i="20" s="1"/>
  <c r="G71" i="20" s="1"/>
  <c r="G70" i="20" s="1"/>
  <c r="G69" i="20" s="1"/>
  <c r="G68" i="20" s="1"/>
  <c r="G67" i="20" s="1"/>
  <c r="G66" i="20" s="1"/>
  <c r="G65" i="20" s="1"/>
  <c r="G64" i="20" s="1"/>
  <c r="G63" i="20" s="1"/>
  <c r="G62" i="20" s="1"/>
  <c r="G61" i="20" s="1"/>
  <c r="G60" i="20" s="1"/>
  <c r="G59" i="20" s="1"/>
  <c r="G58" i="20" s="1"/>
  <c r="G57" i="20" s="1"/>
  <c r="G56" i="20" s="1"/>
  <c r="G55" i="20" s="1"/>
  <c r="G54" i="20" s="1"/>
  <c r="G53" i="20" s="1"/>
  <c r="G52" i="20" s="1"/>
  <c r="G51" i="20" s="1"/>
  <c r="G50" i="20" s="1"/>
  <c r="G49" i="20" s="1"/>
  <c r="G48" i="20" s="1"/>
  <c r="G47" i="20" s="1"/>
  <c r="G46" i="20" s="1"/>
  <c r="G45" i="20" s="1"/>
  <c r="G44" i="20" s="1"/>
  <c r="G43" i="20" s="1"/>
  <c r="G42" i="20" s="1"/>
  <c r="G41" i="20" s="1"/>
  <c r="G40" i="20" s="1"/>
  <c r="G39" i="20" s="1"/>
  <c r="G38" i="20" s="1"/>
  <c r="G37" i="20" s="1"/>
  <c r="G36" i="20" s="1"/>
  <c r="G35" i="20" s="1"/>
  <c r="G34" i="20" s="1"/>
  <c r="G33" i="20" s="1"/>
  <c r="G32" i="20" s="1"/>
  <c r="G31" i="20" s="1"/>
  <c r="G30" i="20" s="1"/>
  <c r="G29" i="20" s="1"/>
  <c r="G28" i="20" s="1"/>
  <c r="G27" i="20" s="1"/>
  <c r="G26" i="20" s="1"/>
  <c r="G25" i="20" s="1"/>
  <c r="G24" i="20" s="1"/>
  <c r="G23" i="20" s="1"/>
  <c r="G22" i="20" s="1"/>
  <c r="G21" i="20" s="1"/>
  <c r="G20" i="20" s="1"/>
  <c r="G19" i="20" s="1"/>
  <c r="G18" i="20" s="1"/>
  <c r="G17" i="20" s="1"/>
  <c r="G16" i="20" s="1"/>
  <c r="G15" i="20" s="1"/>
  <c r="G14" i="20" s="1"/>
  <c r="G13" i="20" s="1"/>
  <c r="G12" i="20" s="1"/>
  <c r="G11" i="20" s="1"/>
  <c r="G10" i="20" s="1"/>
  <c r="G9" i="20" s="1"/>
  <c r="G8" i="20" s="1"/>
  <c r="G7" i="20" s="1"/>
  <c r="G6" i="20" s="1"/>
  <c r="G5" i="20" s="1"/>
  <c r="G4" i="20" s="1"/>
  <c r="G3" i="20" s="1"/>
  <c r="G2" i="20" s="1"/>
  <c r="AC15" i="33" l="1"/>
  <c r="N25" i="33"/>
  <c r="K43" i="32" l="1"/>
  <c r="U43" i="32" s="1"/>
  <c r="M43" i="32"/>
  <c r="R43" i="32" s="1"/>
  <c r="Q43" i="32" l="1"/>
  <c r="I42" i="32" l="1"/>
  <c r="K41" i="32"/>
  <c r="M41" i="32"/>
  <c r="M29" i="32"/>
  <c r="R29" i="32" s="1"/>
  <c r="K29" i="32"/>
  <c r="Q29" i="32" l="1"/>
  <c r="U29" i="32" l="1"/>
  <c r="U60" i="32"/>
  <c r="U61" i="32"/>
  <c r="U62" i="32"/>
  <c r="U63" i="32"/>
  <c r="U64" i="32"/>
  <c r="U65" i="32"/>
  <c r="U66" i="32"/>
  <c r="U67" i="32"/>
  <c r="U68" i="32"/>
  <c r="AC28" i="33"/>
  <c r="AE24" i="33" l="1"/>
  <c r="B2" i="33"/>
  <c r="K2" i="33" l="1"/>
  <c r="C2" i="33"/>
  <c r="H2" i="33"/>
  <c r="J2" i="33"/>
  <c r="I2" i="33"/>
  <c r="L2" i="33"/>
  <c r="G2" i="33"/>
  <c r="E2" i="33"/>
  <c r="F2" i="33"/>
  <c r="D2" i="33"/>
  <c r="U2" i="33"/>
  <c r="K25" i="33"/>
  <c r="C25" i="33"/>
  <c r="H25" i="33"/>
  <c r="E25" i="33"/>
  <c r="J25" i="33"/>
  <c r="I25" i="33"/>
  <c r="F25" i="33"/>
  <c r="D25" i="33"/>
  <c r="L25" i="33"/>
  <c r="G25" i="33"/>
  <c r="B25" i="33"/>
  <c r="U25" i="33" s="1"/>
  <c r="I40" i="32"/>
  <c r="P29" i="33"/>
  <c r="P26" i="33"/>
  <c r="P24" i="33"/>
  <c r="P17" i="33"/>
  <c r="P27" i="33"/>
  <c r="P19" i="33"/>
  <c r="P20" i="33"/>
  <c r="P21" i="33"/>
  <c r="P22" i="33"/>
  <c r="P23" i="33"/>
  <c r="P18" i="33"/>
  <c r="AF2" i="33" l="1"/>
  <c r="Y2" i="33" s="1"/>
  <c r="N29" i="33"/>
  <c r="N28" i="33"/>
  <c r="N26" i="33"/>
  <c r="N16" i="33"/>
  <c r="N15" i="33"/>
  <c r="N14" i="33"/>
  <c r="N13" i="33"/>
  <c r="N11" i="33"/>
  <c r="N10" i="33"/>
  <c r="N9" i="33"/>
  <c r="N7" i="33"/>
  <c r="N5" i="33"/>
  <c r="N24" i="33"/>
  <c r="D24" i="33" s="1"/>
  <c r="N27" i="33"/>
  <c r="N12" i="33"/>
  <c r="N8" i="33"/>
  <c r="N6" i="33"/>
  <c r="N4" i="33"/>
  <c r="N3" i="33"/>
  <c r="N23" i="33"/>
  <c r="N22" i="33"/>
  <c r="N21" i="33"/>
  <c r="N20" i="33"/>
  <c r="B20" i="33" s="1"/>
  <c r="N19" i="33"/>
  <c r="N18" i="33"/>
  <c r="N17" i="33"/>
  <c r="C12" i="33" l="1"/>
  <c r="B12" i="33"/>
  <c r="U12" i="33" s="1"/>
  <c r="B18" i="33"/>
  <c r="U18" i="33" s="1"/>
  <c r="D18" i="33"/>
  <c r="J20" i="33"/>
  <c r="G20" i="33"/>
  <c r="L20" i="33"/>
  <c r="D20" i="33"/>
  <c r="I20" i="33"/>
  <c r="H20" i="33"/>
  <c r="E20" i="33"/>
  <c r="C20" i="33"/>
  <c r="K20" i="33"/>
  <c r="F20" i="33"/>
  <c r="J12" i="33"/>
  <c r="D12" i="33"/>
  <c r="I12" i="33"/>
  <c r="G12" i="33"/>
  <c r="L12" i="33"/>
  <c r="K12" i="33"/>
  <c r="E12" i="33"/>
  <c r="F12" i="33"/>
  <c r="H12" i="33"/>
  <c r="G13" i="33"/>
  <c r="F13" i="33"/>
  <c r="K13" i="33"/>
  <c r="L13" i="33"/>
  <c r="D13" i="33"/>
  <c r="I13" i="33"/>
  <c r="J13" i="33"/>
  <c r="H13" i="33"/>
  <c r="E13" i="33"/>
  <c r="C13" i="33"/>
  <c r="B13" i="33"/>
  <c r="U13" i="33" s="1"/>
  <c r="G21" i="33"/>
  <c r="L21" i="33"/>
  <c r="D21" i="33"/>
  <c r="I21" i="33"/>
  <c r="F21" i="33"/>
  <c r="K21" i="33"/>
  <c r="J21" i="33"/>
  <c r="C21" i="33"/>
  <c r="H21" i="33"/>
  <c r="E21" i="33"/>
  <c r="B21" i="33"/>
  <c r="U21" i="33" s="1"/>
  <c r="R27" i="33"/>
  <c r="E27" i="33"/>
  <c r="L27" i="33"/>
  <c r="J27" i="33"/>
  <c r="G27" i="33"/>
  <c r="D27" i="33"/>
  <c r="H27" i="33"/>
  <c r="F27" i="33"/>
  <c r="C27" i="33"/>
  <c r="I27" i="33"/>
  <c r="K27" i="33"/>
  <c r="B27" i="33"/>
  <c r="U27" i="33" s="1"/>
  <c r="L14" i="33"/>
  <c r="D14" i="33"/>
  <c r="F14" i="33"/>
  <c r="C14" i="33"/>
  <c r="I14" i="33"/>
  <c r="K14" i="33"/>
  <c r="H14" i="33"/>
  <c r="J14" i="33"/>
  <c r="G14" i="33"/>
  <c r="E14" i="33"/>
  <c r="B14" i="33"/>
  <c r="U14" i="33" s="1"/>
  <c r="L22" i="33"/>
  <c r="D22" i="33"/>
  <c r="K22" i="33"/>
  <c r="I22" i="33"/>
  <c r="F22" i="33"/>
  <c r="C22" i="33"/>
  <c r="G22" i="33"/>
  <c r="E22" i="33"/>
  <c r="H22" i="33"/>
  <c r="J22" i="33"/>
  <c r="B22" i="33"/>
  <c r="U22" i="33" s="1"/>
  <c r="F24" i="33"/>
  <c r="E24" i="33"/>
  <c r="J24" i="33"/>
  <c r="K24" i="33"/>
  <c r="C24" i="33"/>
  <c r="H24" i="33"/>
  <c r="L24" i="33"/>
  <c r="I24" i="33"/>
  <c r="G24" i="33"/>
  <c r="B24" i="33"/>
  <c r="U24" i="33" s="1"/>
  <c r="I15" i="33"/>
  <c r="F15" i="33"/>
  <c r="K15" i="33"/>
  <c r="C15" i="33"/>
  <c r="H15" i="33"/>
  <c r="J15" i="33"/>
  <c r="G15" i="33"/>
  <c r="D15" i="33"/>
  <c r="L15" i="33"/>
  <c r="E15" i="33"/>
  <c r="B15" i="33"/>
  <c r="U15" i="33" s="1"/>
  <c r="I23" i="33"/>
  <c r="C23" i="33"/>
  <c r="H23" i="33"/>
  <c r="F23" i="33"/>
  <c r="K23" i="33"/>
  <c r="D23" i="33"/>
  <c r="L23" i="33"/>
  <c r="J23" i="33"/>
  <c r="G23" i="33"/>
  <c r="E23" i="33"/>
  <c r="B23" i="33"/>
  <c r="U23" i="33" s="1"/>
  <c r="G5" i="33"/>
  <c r="L5" i="33"/>
  <c r="D5" i="33"/>
  <c r="I5" i="33"/>
  <c r="F5" i="33"/>
  <c r="K5" i="33"/>
  <c r="J5" i="33"/>
  <c r="H5" i="33"/>
  <c r="E5" i="33"/>
  <c r="C5" i="33"/>
  <c r="B5" i="33"/>
  <c r="U5" i="33" s="1"/>
  <c r="F16" i="33"/>
  <c r="K16" i="33"/>
  <c r="C16" i="33"/>
  <c r="H16" i="33"/>
  <c r="E16" i="33"/>
  <c r="I16" i="33"/>
  <c r="L16" i="33"/>
  <c r="J16" i="33"/>
  <c r="G16" i="33"/>
  <c r="D16" i="33"/>
  <c r="B16" i="33"/>
  <c r="U16" i="33" s="1"/>
  <c r="E3" i="33"/>
  <c r="D3" i="33"/>
  <c r="J3" i="33"/>
  <c r="G3" i="33"/>
  <c r="L3" i="33"/>
  <c r="H3" i="33"/>
  <c r="F3" i="33"/>
  <c r="C3" i="33"/>
  <c r="K3" i="33"/>
  <c r="I3" i="33"/>
  <c r="B3" i="33"/>
  <c r="U3" i="33" s="1"/>
  <c r="I7" i="33"/>
  <c r="C7" i="33"/>
  <c r="H7" i="33"/>
  <c r="F7" i="33"/>
  <c r="K7" i="33"/>
  <c r="D7" i="33"/>
  <c r="L7" i="33"/>
  <c r="E7" i="33"/>
  <c r="J7" i="33"/>
  <c r="G7" i="33"/>
  <c r="B7" i="33"/>
  <c r="U7" i="33" s="1"/>
  <c r="H26" i="33"/>
  <c r="E26" i="33"/>
  <c r="J26" i="33"/>
  <c r="G26" i="33"/>
  <c r="L26" i="33"/>
  <c r="K26" i="33"/>
  <c r="D26" i="33"/>
  <c r="I26" i="33"/>
  <c r="F26" i="33"/>
  <c r="C26" i="33"/>
  <c r="B26" i="33"/>
  <c r="U26" i="33" s="1"/>
  <c r="K17" i="33"/>
  <c r="C17" i="33"/>
  <c r="E17" i="33"/>
  <c r="J17" i="33"/>
  <c r="H17" i="33"/>
  <c r="F17" i="33"/>
  <c r="D17" i="33"/>
  <c r="G17" i="33"/>
  <c r="L17" i="33"/>
  <c r="I17" i="33"/>
  <c r="B17" i="33"/>
  <c r="U17" i="33" s="1"/>
  <c r="J4" i="33"/>
  <c r="G4" i="33"/>
  <c r="L4" i="33"/>
  <c r="D4" i="33"/>
  <c r="I4" i="33"/>
  <c r="K4" i="33"/>
  <c r="F4" i="33"/>
  <c r="H4" i="33"/>
  <c r="E4" i="33"/>
  <c r="C4" i="33"/>
  <c r="B4" i="33"/>
  <c r="U4" i="33" s="1"/>
  <c r="K9" i="33"/>
  <c r="C9" i="33"/>
  <c r="H9" i="33"/>
  <c r="E9" i="33"/>
  <c r="J9" i="33"/>
  <c r="G9" i="33"/>
  <c r="I9" i="33"/>
  <c r="F9" i="33"/>
  <c r="D9" i="33"/>
  <c r="L9" i="33"/>
  <c r="B9" i="33"/>
  <c r="U9" i="33" s="1"/>
  <c r="J28" i="33"/>
  <c r="D28" i="33"/>
  <c r="I28" i="33"/>
  <c r="G28" i="33"/>
  <c r="L28" i="33"/>
  <c r="E28" i="33"/>
  <c r="K28" i="33"/>
  <c r="H28" i="33"/>
  <c r="F28" i="33"/>
  <c r="C28" i="33"/>
  <c r="B28" i="33"/>
  <c r="U28" i="33" s="1"/>
  <c r="H18" i="33"/>
  <c r="G18" i="33"/>
  <c r="L18" i="33"/>
  <c r="E18" i="33"/>
  <c r="J18" i="33"/>
  <c r="C18" i="33"/>
  <c r="I18" i="33"/>
  <c r="K18" i="33"/>
  <c r="F18" i="33"/>
  <c r="L6" i="33"/>
  <c r="D6" i="33"/>
  <c r="K6" i="33"/>
  <c r="I6" i="33"/>
  <c r="F6" i="33"/>
  <c r="C6" i="33"/>
  <c r="G6" i="33"/>
  <c r="J6" i="33"/>
  <c r="H6" i="33"/>
  <c r="E6" i="33"/>
  <c r="B6" i="33"/>
  <c r="U6" i="33" s="1"/>
  <c r="H10" i="33"/>
  <c r="E10" i="33"/>
  <c r="J10" i="33"/>
  <c r="G10" i="33"/>
  <c r="L10" i="33"/>
  <c r="I10" i="33"/>
  <c r="F10" i="33"/>
  <c r="C10" i="33"/>
  <c r="K10" i="33"/>
  <c r="D10" i="33"/>
  <c r="B10" i="33"/>
  <c r="U10" i="33" s="1"/>
  <c r="G29" i="33"/>
  <c r="F29" i="33"/>
  <c r="K29" i="33"/>
  <c r="L29" i="33"/>
  <c r="D29" i="33"/>
  <c r="I29" i="33"/>
  <c r="J29" i="33"/>
  <c r="C29" i="33"/>
  <c r="H29" i="33"/>
  <c r="E29" i="33"/>
  <c r="B29" i="33"/>
  <c r="U29" i="33" s="1"/>
  <c r="E19" i="33"/>
  <c r="D19" i="33"/>
  <c r="J19" i="33"/>
  <c r="G19" i="33"/>
  <c r="L19" i="33"/>
  <c r="I19" i="33"/>
  <c r="H19" i="33"/>
  <c r="K19" i="33"/>
  <c r="F19" i="33"/>
  <c r="C19" i="33"/>
  <c r="B19" i="33"/>
  <c r="U19" i="33" s="1"/>
  <c r="F8" i="33"/>
  <c r="E8" i="33"/>
  <c r="K8" i="33"/>
  <c r="C8" i="33"/>
  <c r="H8" i="33"/>
  <c r="L8" i="33"/>
  <c r="I8" i="33"/>
  <c r="G8" i="33"/>
  <c r="D8" i="33"/>
  <c r="J8" i="33"/>
  <c r="B8" i="33"/>
  <c r="U8" i="33" s="1"/>
  <c r="E11" i="33"/>
  <c r="L11" i="33"/>
  <c r="J11" i="33"/>
  <c r="G11" i="33"/>
  <c r="D11" i="33"/>
  <c r="H11" i="33"/>
  <c r="K11" i="33"/>
  <c r="I11" i="33"/>
  <c r="F11" i="33"/>
  <c r="C11" i="33"/>
  <c r="B11" i="33"/>
  <c r="U11" i="33" s="1"/>
  <c r="R24" i="33"/>
  <c r="R15" i="33"/>
  <c r="R17" i="33"/>
  <c r="R2" i="33"/>
  <c r="R5" i="33"/>
  <c r="R16" i="33"/>
  <c r="R3" i="33"/>
  <c r="R4" i="33"/>
  <c r="R25" i="33"/>
  <c r="R26" i="33"/>
  <c r="R9" i="33"/>
  <c r="R29" i="33"/>
  <c r="R22" i="33"/>
  <c r="R13" i="33"/>
  <c r="R18" i="33"/>
  <c r="R7" i="33"/>
  <c r="R19" i="33"/>
  <c r="R28" i="33"/>
  <c r="U20" i="33"/>
  <c r="R20" i="33"/>
  <c r="R6" i="33"/>
  <c r="R10" i="33"/>
  <c r="R21" i="33"/>
  <c r="R8" i="33"/>
  <c r="R11" i="33"/>
  <c r="R12" i="33"/>
  <c r="R23" i="33"/>
  <c r="R14" i="33"/>
  <c r="K82" i="18"/>
  <c r="C2" i="34"/>
  <c r="B2" i="34"/>
  <c r="I23" i="34"/>
  <c r="H23" i="34"/>
  <c r="G23" i="34"/>
  <c r="H22" i="34"/>
  <c r="G22" i="34"/>
  <c r="D22" i="34"/>
  <c r="I22" i="34" s="1"/>
  <c r="I21" i="34"/>
  <c r="H21" i="34"/>
  <c r="G21" i="34"/>
  <c r="D21" i="34"/>
  <c r="H20" i="34"/>
  <c r="G20" i="34"/>
  <c r="D20" i="34"/>
  <c r="I20" i="34" s="1"/>
  <c r="I19" i="34"/>
  <c r="H19" i="34"/>
  <c r="G19" i="34"/>
  <c r="D19" i="34"/>
  <c r="H18" i="34"/>
  <c r="G18" i="34"/>
  <c r="D18" i="34"/>
  <c r="I18" i="34" s="1"/>
  <c r="I17" i="34"/>
  <c r="H17" i="34"/>
  <c r="G17" i="34"/>
  <c r="D17" i="34"/>
  <c r="H16" i="34"/>
  <c r="G16" i="34"/>
  <c r="D16" i="34"/>
  <c r="I16" i="34" s="1"/>
  <c r="I15" i="34"/>
  <c r="H15" i="34"/>
  <c r="G15" i="34"/>
  <c r="D15" i="34"/>
  <c r="H14" i="34"/>
  <c r="G14" i="34"/>
  <c r="D14" i="34"/>
  <c r="I14" i="34" s="1"/>
  <c r="I13" i="34"/>
  <c r="H13" i="34"/>
  <c r="G13" i="34"/>
  <c r="D13" i="34"/>
  <c r="H12" i="34"/>
  <c r="G12" i="34"/>
  <c r="D12" i="34"/>
  <c r="I12" i="34" s="1"/>
  <c r="I11" i="34"/>
  <c r="H11" i="34"/>
  <c r="G11" i="34"/>
  <c r="D11" i="34"/>
  <c r="H10" i="34"/>
  <c r="G10" i="34"/>
  <c r="D10" i="34"/>
  <c r="I10" i="34" s="1"/>
  <c r="I9" i="34"/>
  <c r="H9" i="34"/>
  <c r="G9" i="34"/>
  <c r="D9" i="34"/>
  <c r="H8" i="34"/>
  <c r="G8" i="34"/>
  <c r="D8" i="34"/>
  <c r="I8" i="34" s="1"/>
  <c r="H7" i="34"/>
  <c r="G7" i="34"/>
  <c r="D7" i="34"/>
  <c r="I7" i="34" s="1"/>
  <c r="H6" i="34"/>
  <c r="G6" i="34"/>
  <c r="D6" i="34"/>
  <c r="I6" i="34" s="1"/>
  <c r="H5" i="34"/>
  <c r="G5" i="34"/>
  <c r="D5" i="34"/>
  <c r="I5" i="34" s="1"/>
  <c r="H4" i="34"/>
  <c r="G4" i="34"/>
  <c r="D4" i="34"/>
  <c r="I4" i="34" s="1"/>
  <c r="H3" i="34"/>
  <c r="G3" i="34"/>
  <c r="D3" i="34"/>
  <c r="I3" i="34" s="1"/>
  <c r="H2" i="34"/>
  <c r="D2" i="34"/>
  <c r="D148" i="20"/>
  <c r="D149" i="20"/>
  <c r="D150" i="20"/>
  <c r="D151" i="20"/>
  <c r="D152" i="20"/>
  <c r="D174" i="20"/>
  <c r="H25" i="34" l="1"/>
  <c r="I2" i="34"/>
  <c r="I25" i="34" s="1"/>
  <c r="D24" i="34"/>
  <c r="B24" i="34"/>
  <c r="B2" i="38" s="1"/>
  <c r="C24" i="34"/>
  <c r="C2" i="38" s="1"/>
  <c r="G2" i="34"/>
  <c r="G25" i="34" s="1"/>
  <c r="G30" i="34" s="1"/>
  <c r="H2" i="38" l="1"/>
  <c r="H25" i="38" s="1"/>
  <c r="C24" i="38"/>
  <c r="G2" i="38"/>
  <c r="G25" i="38" s="1"/>
  <c r="G30" i="38" s="1"/>
  <c r="D2" i="38"/>
  <c r="B24" i="38"/>
  <c r="H30" i="34"/>
  <c r="Q41" i="32"/>
  <c r="O41" i="32"/>
  <c r="R41" i="32" s="1"/>
  <c r="I41" i="32"/>
  <c r="K40" i="32"/>
  <c r="L40" i="32" s="1"/>
  <c r="K7" i="32"/>
  <c r="K6" i="32"/>
  <c r="K9" i="32"/>
  <c r="U9" i="32" s="1"/>
  <c r="M39" i="32"/>
  <c r="R39" i="32" s="1"/>
  <c r="M17" i="32"/>
  <c r="R17" i="32" s="1"/>
  <c r="M55" i="32"/>
  <c r="Q55" i="32" s="1"/>
  <c r="K55" i="32"/>
  <c r="U55" i="32" s="1"/>
  <c r="K54" i="32"/>
  <c r="U54" i="32" s="1"/>
  <c r="I54" i="32"/>
  <c r="L54" i="32" s="1"/>
  <c r="M53" i="32"/>
  <c r="R53" i="32" s="1"/>
  <c r="K53" i="32"/>
  <c r="U53" i="32" s="1"/>
  <c r="K52" i="32"/>
  <c r="U52" i="32" s="1"/>
  <c r="I52" i="32"/>
  <c r="L52" i="32" s="1"/>
  <c r="M21" i="32"/>
  <c r="Q21" i="32" s="1"/>
  <c r="K21" i="32"/>
  <c r="U21" i="32" s="1"/>
  <c r="K20" i="32"/>
  <c r="U20" i="32" s="1"/>
  <c r="I20" i="32"/>
  <c r="M19" i="32"/>
  <c r="R19" i="32" s="1"/>
  <c r="K19" i="32"/>
  <c r="U19" i="32" s="1"/>
  <c r="K18" i="32"/>
  <c r="U18" i="32" s="1"/>
  <c r="I18" i="32"/>
  <c r="K39" i="32"/>
  <c r="U39" i="32" s="1"/>
  <c r="K38" i="32"/>
  <c r="U38" i="32" s="1"/>
  <c r="I38" i="32"/>
  <c r="K17" i="32"/>
  <c r="U17" i="32" s="1"/>
  <c r="K16" i="32"/>
  <c r="U16" i="32" s="1"/>
  <c r="I16" i="32"/>
  <c r="M37" i="32"/>
  <c r="R37" i="32" s="1"/>
  <c r="K37" i="32"/>
  <c r="U37" i="32" s="1"/>
  <c r="K36" i="32"/>
  <c r="U36" i="32" s="1"/>
  <c r="I36" i="32"/>
  <c r="M11" i="32"/>
  <c r="R11" i="32" s="1"/>
  <c r="K11" i="32"/>
  <c r="U11" i="32" s="1"/>
  <c r="K10" i="32"/>
  <c r="U10" i="32" s="1"/>
  <c r="M27" i="32"/>
  <c r="R27" i="32" s="1"/>
  <c r="K27" i="32"/>
  <c r="U27" i="32" s="1"/>
  <c r="K26" i="32"/>
  <c r="U26" i="32" s="1"/>
  <c r="I26" i="32"/>
  <c r="M25" i="32"/>
  <c r="R25" i="32" s="1"/>
  <c r="K25" i="32"/>
  <c r="U25" i="32" s="1"/>
  <c r="K24" i="32"/>
  <c r="U24" i="32" s="1"/>
  <c r="I24" i="32"/>
  <c r="K42" i="32"/>
  <c r="U42" i="32" s="1"/>
  <c r="L42" i="32" s="1"/>
  <c r="M23" i="32"/>
  <c r="R23" i="32" s="1"/>
  <c r="K23" i="32"/>
  <c r="U23" i="32" s="1"/>
  <c r="K22" i="32"/>
  <c r="U22" i="32" s="1"/>
  <c r="I22" i="32"/>
  <c r="M7" i="32"/>
  <c r="B228" i="15"/>
  <c r="H30" i="38" l="1"/>
  <c r="D24" i="38"/>
  <c r="I2" i="38"/>
  <c r="I25" i="38" s="1"/>
  <c r="I30" i="38" s="1"/>
  <c r="I30" i="34"/>
  <c r="L36" i="32"/>
  <c r="L26" i="32"/>
  <c r="L20" i="32"/>
  <c r="L18" i="32"/>
  <c r="L16" i="32"/>
  <c r="L24" i="32"/>
  <c r="L22" i="32"/>
  <c r="L38" i="32"/>
  <c r="Q17" i="32"/>
  <c r="R55" i="32"/>
  <c r="R21" i="32"/>
  <c r="Q19" i="32"/>
  <c r="Q53" i="32"/>
  <c r="Q39" i="32"/>
  <c r="Q23" i="32"/>
  <c r="Q37" i="32"/>
  <c r="Q11" i="32"/>
  <c r="Q27" i="32"/>
  <c r="Q25" i="32"/>
  <c r="K28" i="32" l="1"/>
  <c r="U28" i="32" l="1"/>
  <c r="M5" i="32"/>
  <c r="R5" i="32" s="1"/>
  <c r="K5" i="32"/>
  <c r="K4" i="32"/>
  <c r="I4" i="32"/>
  <c r="L4" i="32" s="1"/>
  <c r="I32" i="32"/>
  <c r="L32" i="32" s="1"/>
  <c r="M35" i="32"/>
  <c r="R35" i="32" s="1"/>
  <c r="K35" i="32"/>
  <c r="K34" i="32"/>
  <c r="L34" i="32" s="1"/>
  <c r="M33" i="32"/>
  <c r="R33" i="32" s="1"/>
  <c r="K33" i="32"/>
  <c r="K32" i="32"/>
  <c r="M31" i="32"/>
  <c r="Q31" i="32" s="1"/>
  <c r="K31" i="32"/>
  <c r="I31" i="32"/>
  <c r="O31" i="32"/>
  <c r="K30" i="32"/>
  <c r="I30" i="32"/>
  <c r="L30" i="32" s="1"/>
  <c r="M13" i="32"/>
  <c r="M15" i="32"/>
  <c r="M9" i="32"/>
  <c r="M3" i="32"/>
  <c r="R31" i="32" l="1"/>
  <c r="Q33" i="32"/>
  <c r="Q5" i="32"/>
  <c r="Q35" i="32"/>
  <c r="Q7" i="32"/>
  <c r="I6" i="32"/>
  <c r="L6" i="32" s="1"/>
  <c r="I3" i="32"/>
  <c r="I8" i="32"/>
  <c r="I9" i="32"/>
  <c r="I12" i="32"/>
  <c r="I13" i="32"/>
  <c r="I14" i="32"/>
  <c r="I15" i="32"/>
  <c r="I7" i="32"/>
  <c r="I10" i="32"/>
  <c r="L10" i="32" s="1"/>
  <c r="I28" i="32"/>
  <c r="L28" i="32" s="1"/>
  <c r="I29" i="32"/>
  <c r="I2" i="32"/>
  <c r="O7" i="32"/>
  <c r="R7" i="32" s="1"/>
  <c r="O15" i="32"/>
  <c r="O13" i="32"/>
  <c r="O9" i="32"/>
  <c r="O3" i="32"/>
  <c r="G122" i="13"/>
  <c r="G123" i="13"/>
  <c r="G124" i="13"/>
  <c r="G125" i="13"/>
  <c r="G126" i="13"/>
  <c r="F101" i="13"/>
  <c r="F102" i="13"/>
  <c r="F103" i="13"/>
  <c r="F104" i="13"/>
  <c r="F105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F124" i="13"/>
  <c r="F125" i="13"/>
  <c r="F126" i="13"/>
  <c r="E126" i="13"/>
  <c r="E125" i="13" s="1"/>
  <c r="E124" i="13" s="1"/>
  <c r="E123" i="13" s="1"/>
  <c r="E122" i="13" s="1"/>
  <c r="E121" i="13" s="1"/>
  <c r="E120" i="13" s="1"/>
  <c r="E119" i="13" s="1"/>
  <c r="E118" i="13" s="1"/>
  <c r="E117" i="13" s="1"/>
  <c r="E116" i="13" s="1"/>
  <c r="E115" i="13" s="1"/>
  <c r="E114" i="13" s="1"/>
  <c r="E113" i="13" s="1"/>
  <c r="E112" i="13" s="1"/>
  <c r="E111" i="13" s="1"/>
  <c r="E110" i="13" s="1"/>
  <c r="E109" i="13" s="1"/>
  <c r="E108" i="13" s="1"/>
  <c r="E107" i="13" s="1"/>
  <c r="E106" i="13" s="1"/>
  <c r="E105" i="13" s="1"/>
  <c r="E104" i="13" s="1"/>
  <c r="E103" i="13" s="1"/>
  <c r="E102" i="13" s="1"/>
  <c r="E101" i="13" s="1"/>
  <c r="G101" i="13" s="1"/>
  <c r="G121" i="13" l="1"/>
  <c r="G120" i="13"/>
  <c r="G118" i="13"/>
  <c r="G119" i="13"/>
  <c r="G117" i="13"/>
  <c r="G116" i="13"/>
  <c r="G115" i="13"/>
  <c r="G114" i="13"/>
  <c r="G113" i="13"/>
  <c r="G112" i="13"/>
  <c r="G111" i="13"/>
  <c r="G110" i="13"/>
  <c r="G107" i="13"/>
  <c r="G106" i="13"/>
  <c r="G109" i="13"/>
  <c r="G104" i="13"/>
  <c r="G105" i="13"/>
  <c r="G108" i="13"/>
  <c r="G103" i="13"/>
  <c r="G102" i="13"/>
  <c r="D147" i="20"/>
  <c r="K13" i="32" l="1"/>
  <c r="K15" i="32"/>
  <c r="U15" i="32" s="1"/>
  <c r="K14" i="32"/>
  <c r="U14" i="32" l="1"/>
  <c r="L14" i="32" s="1"/>
  <c r="Q9" i="32"/>
  <c r="R9" i="32"/>
  <c r="Y5" i="33"/>
  <c r="Y44" i="33" l="1"/>
  <c r="Y28" i="33"/>
  <c r="Y20" i="33"/>
  <c r="Y12" i="33"/>
  <c r="Y3" i="33"/>
  <c r="Y43" i="33"/>
  <c r="Y35" i="33"/>
  <c r="Y27" i="33"/>
  <c r="Y19" i="33"/>
  <c r="Y11" i="33"/>
  <c r="AA2" i="33"/>
  <c r="Y42" i="33"/>
  <c r="Y34" i="33"/>
  <c r="Y26" i="33"/>
  <c r="Y18" i="33"/>
  <c r="Y10" i="33"/>
  <c r="Y49" i="33"/>
  <c r="Y41" i="33"/>
  <c r="Y33" i="33"/>
  <c r="Y25" i="33"/>
  <c r="Y17" i="33"/>
  <c r="Y9" i="33"/>
  <c r="Y48" i="33"/>
  <c r="Y40" i="33"/>
  <c r="Y32" i="33"/>
  <c r="Y24" i="33"/>
  <c r="Y16" i="33"/>
  <c r="Y8" i="33"/>
  <c r="Y7" i="33"/>
  <c r="Y36" i="33"/>
  <c r="Y47" i="33"/>
  <c r="Y39" i="33"/>
  <c r="Y31" i="33"/>
  <c r="Y23" i="33"/>
  <c r="Y15" i="33"/>
  <c r="Y4" i="33"/>
  <c r="Y46" i="33"/>
  <c r="Y38" i="33"/>
  <c r="Y30" i="33"/>
  <c r="Y22" i="33"/>
  <c r="Y14" i="33"/>
  <c r="Y6" i="33"/>
  <c r="Y45" i="33"/>
  <c r="Y37" i="33"/>
  <c r="Y29" i="33"/>
  <c r="Y21" i="33"/>
  <c r="Y13" i="33"/>
  <c r="Z1" i="33"/>
  <c r="Z2" i="33" s="1"/>
  <c r="Z3" i="33" s="1"/>
  <c r="Z4" i="33" s="1"/>
  <c r="Z5" i="33" s="1"/>
  <c r="Z6" i="33" s="1"/>
  <c r="Z7" i="33" s="1"/>
  <c r="Z8" i="33" s="1"/>
  <c r="Z9" i="33" s="1"/>
  <c r="Z10" i="33" s="1"/>
  <c r="Z11" i="33" s="1"/>
  <c r="Z12" i="33" s="1"/>
  <c r="Z13" i="33" s="1"/>
  <c r="Z14" i="33" s="1"/>
  <c r="Z15" i="33" s="1"/>
  <c r="Z16" i="33" s="1"/>
  <c r="Z17" i="33" s="1"/>
  <c r="Z18" i="33" s="1"/>
  <c r="Z19" i="33" s="1"/>
  <c r="Z20" i="33" s="1"/>
  <c r="Z21" i="33" s="1"/>
  <c r="Z22" i="33" s="1"/>
  <c r="Z23" i="33" s="1"/>
  <c r="Z24" i="33" s="1"/>
  <c r="Z25" i="33" s="1"/>
  <c r="Z26" i="33" s="1"/>
  <c r="Z27" i="33" s="1"/>
  <c r="Z28" i="33" s="1"/>
  <c r="Z29" i="33" s="1"/>
  <c r="Z30" i="33" s="1"/>
  <c r="Z31" i="33" s="1"/>
  <c r="Z32" i="33" s="1"/>
  <c r="Z33" i="33" s="1"/>
  <c r="K2" i="32"/>
  <c r="K3" i="32"/>
  <c r="U3" i="32" s="1"/>
  <c r="K8" i="32"/>
  <c r="K12" i="32"/>
  <c r="L12" i="32" s="1"/>
  <c r="L8" i="32" l="1"/>
  <c r="U2" i="32"/>
  <c r="L2" i="32" s="1"/>
  <c r="AA3" i="33"/>
  <c r="AA4" i="33" s="1"/>
  <c r="AA5" i="33" s="1"/>
  <c r="AA6" i="33" s="1"/>
  <c r="Z34" i="33"/>
  <c r="Z35" i="33" s="1"/>
  <c r="Z36" i="33" s="1"/>
  <c r="Z37" i="33" s="1"/>
  <c r="Z38" i="33" s="1"/>
  <c r="Z39" i="33" s="1"/>
  <c r="Z40" i="33" s="1"/>
  <c r="Z41" i="33" s="1"/>
  <c r="Z42" i="33" s="1"/>
  <c r="Z43" i="33" s="1"/>
  <c r="Z44" i="33" s="1"/>
  <c r="Z45" i="33" s="1"/>
  <c r="Z46" i="33" s="1"/>
  <c r="Z47" i="33" s="1"/>
  <c r="Z48" i="33" s="1"/>
  <c r="Z49" i="33" s="1"/>
  <c r="N21" i="18"/>
  <c r="O11" i="18"/>
  <c r="C16" i="18"/>
  <c r="AA7" i="33" l="1"/>
  <c r="AA8" i="33" s="1"/>
  <c r="AA9" i="33" s="1"/>
  <c r="AA10" i="33" s="1"/>
  <c r="AA11" i="33" s="1"/>
  <c r="AA12" i="33" s="1"/>
  <c r="Q3" i="32"/>
  <c r="R3" i="32"/>
  <c r="Q13" i="32"/>
  <c r="R13" i="32"/>
  <c r="Q15" i="32"/>
  <c r="R15" i="32"/>
  <c r="E187" i="15"/>
  <c r="E188" i="15"/>
  <c r="E189" i="15"/>
  <c r="E190" i="15"/>
  <c r="E191" i="15"/>
  <c r="E192" i="15"/>
  <c r="E193" i="15"/>
  <c r="E194" i="15"/>
  <c r="E195" i="15"/>
  <c r="D195" i="15"/>
  <c r="E186" i="15"/>
  <c r="D194" i="15" l="1"/>
  <c r="D193" i="15" s="1"/>
  <c r="D192" i="15" s="1"/>
  <c r="D191" i="15" s="1"/>
  <c r="D190" i="15" s="1"/>
  <c r="D189" i="15" s="1"/>
  <c r="D188" i="15" s="1"/>
  <c r="D187" i="15" s="1"/>
  <c r="D186" i="15" s="1"/>
  <c r="D185" i="15" s="1"/>
  <c r="D184" i="15" s="1"/>
  <c r="D183" i="15" s="1"/>
  <c r="D182" i="15" s="1"/>
  <c r="D181" i="15" s="1"/>
  <c r="D180" i="15" s="1"/>
  <c r="D179" i="15" s="1"/>
  <c r="D178" i="15" s="1"/>
  <c r="D177" i="15" s="1"/>
  <c r="D176" i="15" s="1"/>
  <c r="D175" i="15" s="1"/>
  <c r="D174" i="15" s="1"/>
  <c r="D173" i="15" s="1"/>
  <c r="D172" i="15" s="1"/>
  <c r="D171" i="15" s="1"/>
  <c r="D170" i="15" s="1"/>
  <c r="D169" i="15" s="1"/>
  <c r="D168" i="15" s="1"/>
  <c r="D167" i="15" s="1"/>
  <c r="D166" i="15" s="1"/>
  <c r="D165" i="15" s="1"/>
  <c r="D164" i="15" s="1"/>
  <c r="D163" i="15" s="1"/>
  <c r="D162" i="15" s="1"/>
  <c r="D161" i="15" s="1"/>
  <c r="D160" i="15" s="1"/>
  <c r="D159" i="15" s="1"/>
  <c r="D158" i="15" s="1"/>
  <c r="D157" i="15" s="1"/>
  <c r="D156" i="15" s="1"/>
  <c r="D155" i="15" s="1"/>
  <c r="D154" i="15" s="1"/>
  <c r="D153" i="15" s="1"/>
  <c r="D152" i="15" s="1"/>
  <c r="D151" i="15" s="1"/>
  <c r="D150" i="15" s="1"/>
  <c r="D149" i="15" s="1"/>
  <c r="D148" i="15" s="1"/>
  <c r="D147" i="15" s="1"/>
  <c r="D146" i="15" s="1"/>
  <c r="D145" i="15" s="1"/>
  <c r="D144" i="15" s="1"/>
  <c r="D143" i="15" s="1"/>
  <c r="D142" i="15" s="1"/>
  <c r="D141" i="15" s="1"/>
  <c r="D140" i="15" s="1"/>
  <c r="D139" i="15" s="1"/>
  <c r="D138" i="15" s="1"/>
  <c r="D137" i="15" s="1"/>
  <c r="D136" i="15" s="1"/>
  <c r="D135" i="15" s="1"/>
  <c r="D134" i="15" s="1"/>
  <c r="D133" i="15" s="1"/>
  <c r="D132" i="15" s="1"/>
  <c r="D131" i="15" s="1"/>
  <c r="D130" i="15" s="1"/>
  <c r="D129" i="15" s="1"/>
  <c r="D128" i="15" s="1"/>
  <c r="D127" i="15" s="1"/>
  <c r="D126" i="15" s="1"/>
  <c r="D125" i="15" s="1"/>
  <c r="D124" i="15" s="1"/>
  <c r="D123" i="15" s="1"/>
  <c r="D122" i="15" s="1"/>
  <c r="D121" i="15" s="1"/>
  <c r="D120" i="15" s="1"/>
  <c r="D119" i="15" s="1"/>
  <c r="D118" i="15" s="1"/>
  <c r="D117" i="15" s="1"/>
  <c r="D116" i="15" s="1"/>
  <c r="D115" i="15" s="1"/>
  <c r="D114" i="15" s="1"/>
  <c r="D113" i="15" s="1"/>
  <c r="D112" i="15" s="1"/>
  <c r="D111" i="15" s="1"/>
  <c r="D110" i="15" s="1"/>
  <c r="D109" i="15" s="1"/>
  <c r="D108" i="15" s="1"/>
  <c r="D107" i="15" s="1"/>
  <c r="D106" i="15" s="1"/>
  <c r="D105" i="15" s="1"/>
  <c r="D104" i="15" s="1"/>
  <c r="D103" i="15" s="1"/>
  <c r="D102" i="15" s="1"/>
  <c r="D101" i="15" s="1"/>
  <c r="D100" i="15" s="1"/>
  <c r="D99" i="15" s="1"/>
  <c r="D98" i="15" s="1"/>
  <c r="D97" i="15" s="1"/>
  <c r="D96" i="15" s="1"/>
  <c r="D95" i="15" s="1"/>
  <c r="D94" i="15" s="1"/>
  <c r="D93" i="15" s="1"/>
  <c r="D92" i="15" s="1"/>
  <c r="D91" i="15" s="1"/>
  <c r="D90" i="15" s="1"/>
  <c r="D89" i="15" s="1"/>
  <c r="D88" i="15" s="1"/>
  <c r="D87" i="15" s="1"/>
  <c r="D86" i="15" s="1"/>
  <c r="D85" i="15" s="1"/>
  <c r="D84" i="15" s="1"/>
  <c r="D83" i="15" s="1"/>
  <c r="D82" i="15" s="1"/>
  <c r="D81" i="15" s="1"/>
  <c r="D80" i="15" s="1"/>
  <c r="D79" i="15" s="1"/>
  <c r="D78" i="15" s="1"/>
  <c r="D77" i="15" s="1"/>
  <c r="D76" i="15" s="1"/>
  <c r="D75" i="15" s="1"/>
  <c r="D74" i="15" s="1"/>
  <c r="D73" i="15" s="1"/>
  <c r="D72" i="15" s="1"/>
  <c r="D71" i="15" s="1"/>
  <c r="D70" i="15" s="1"/>
  <c r="D69" i="15" s="1"/>
  <c r="D68" i="15" s="1"/>
  <c r="D67" i="15" s="1"/>
  <c r="D66" i="15" s="1"/>
  <c r="D65" i="15" s="1"/>
  <c r="D64" i="15" s="1"/>
  <c r="D63" i="15" s="1"/>
  <c r="D62" i="15" s="1"/>
  <c r="D61" i="15" s="1"/>
  <c r="D60" i="15" s="1"/>
  <c r="D59" i="15" s="1"/>
  <c r="D58" i="15" s="1"/>
  <c r="D57" i="15" s="1"/>
  <c r="D56" i="15" s="1"/>
  <c r="D55" i="15" s="1"/>
  <c r="D54" i="15" s="1"/>
  <c r="D53" i="15" s="1"/>
  <c r="D52" i="15" s="1"/>
  <c r="D51" i="15" s="1"/>
  <c r="D50" i="15" s="1"/>
  <c r="D49" i="15" s="1"/>
  <c r="D48" i="15" s="1"/>
  <c r="D47" i="15" s="1"/>
  <c r="D46" i="15" s="1"/>
  <c r="D45" i="15" s="1"/>
  <c r="D44" i="15" s="1"/>
  <c r="D43" i="15" s="1"/>
  <c r="D42" i="15" s="1"/>
  <c r="D41" i="15" s="1"/>
  <c r="D40" i="15" s="1"/>
  <c r="D39" i="15" s="1"/>
  <c r="D38" i="15" s="1"/>
  <c r="D37" i="15" s="1"/>
  <c r="D36" i="15" s="1"/>
  <c r="D35" i="15" s="1"/>
  <c r="D34" i="15" s="1"/>
  <c r="D33" i="15" s="1"/>
  <c r="D32" i="15" s="1"/>
  <c r="D31" i="15" s="1"/>
  <c r="D30" i="15" s="1"/>
  <c r="D29" i="15" s="1"/>
  <c r="D28" i="15" s="1"/>
  <c r="D27" i="15" s="1"/>
  <c r="D26" i="15" s="1"/>
  <c r="D25" i="15" s="1"/>
  <c r="D24" i="15" s="1"/>
  <c r="D23" i="15" s="1"/>
  <c r="D22" i="15" s="1"/>
  <c r="D21" i="15" s="1"/>
  <c r="D20" i="15" s="1"/>
  <c r="D19" i="15" s="1"/>
  <c r="D18" i="15" s="1"/>
  <c r="D17" i="15" s="1"/>
  <c r="D16" i="15" s="1"/>
  <c r="D15" i="15" s="1"/>
  <c r="D14" i="15" s="1"/>
  <c r="D13" i="15" s="1"/>
  <c r="D12" i="15" s="1"/>
  <c r="D11" i="15" s="1"/>
  <c r="D10" i="15" s="1"/>
  <c r="D9" i="15" s="1"/>
  <c r="D8" i="15" s="1"/>
  <c r="D7" i="15" s="1"/>
  <c r="D6" i="15" s="1"/>
  <c r="D5" i="15" s="1"/>
  <c r="D4" i="15" s="1"/>
  <c r="D3" i="15" s="1"/>
  <c r="D2" i="15" s="1"/>
  <c r="F195" i="15"/>
  <c r="F194" i="15"/>
  <c r="AA13" i="33"/>
  <c r="AA14" i="33" s="1"/>
  <c r="AA15" i="33" s="1"/>
  <c r="AA16" i="33" s="1"/>
  <c r="AA17" i="33" s="1"/>
  <c r="AA18" i="33" s="1"/>
  <c r="AA19" i="33" s="1"/>
  <c r="AA20" i="33" s="1"/>
  <c r="AA21" i="33" s="1"/>
  <c r="AA22" i="33" s="1"/>
  <c r="AA23" i="33" s="1"/>
  <c r="AA24" i="33" s="1"/>
  <c r="AA25" i="33" s="1"/>
  <c r="AA26" i="33" s="1"/>
  <c r="AA27" i="33" s="1"/>
  <c r="AA28" i="33" s="1"/>
  <c r="AA29" i="33" s="1"/>
  <c r="AA30" i="33" s="1"/>
  <c r="AA31" i="33" s="1"/>
  <c r="AA32" i="33" s="1"/>
  <c r="AA33" i="33" s="1"/>
  <c r="AA34" i="33" s="1"/>
  <c r="AA35" i="33" s="1"/>
  <c r="AA36" i="33" s="1"/>
  <c r="AA37" i="33" s="1"/>
  <c r="AA38" i="33" s="1"/>
  <c r="AA39" i="33" s="1"/>
  <c r="AA40" i="33" s="1"/>
  <c r="AA41" i="33" s="1"/>
  <c r="AA42" i="33" s="1"/>
  <c r="AA43" i="33" s="1"/>
  <c r="AA44" i="33" s="1"/>
  <c r="AA45" i="33" s="1"/>
  <c r="AA46" i="33" s="1"/>
  <c r="AA47" i="33" s="1"/>
  <c r="AA48" i="33" s="1"/>
  <c r="AA49" i="33" s="1"/>
  <c r="F190" i="15"/>
  <c r="F189" i="15"/>
  <c r="F188" i="15"/>
  <c r="F186" i="15"/>
  <c r="F193" i="15"/>
  <c r="F192" i="15"/>
  <c r="F191" i="15"/>
  <c r="F187" i="15"/>
  <c r="E69" i="16"/>
  <c r="E68" i="16" s="1"/>
  <c r="E67" i="16" s="1"/>
  <c r="E66" i="16" s="1"/>
  <c r="E65" i="16" s="1"/>
  <c r="E64" i="16" s="1"/>
  <c r="E63" i="16" s="1"/>
  <c r="E62" i="16" s="1"/>
  <c r="E61" i="16" s="1"/>
  <c r="E60" i="16" s="1"/>
  <c r="E59" i="16" s="1"/>
  <c r="E58" i="16" s="1"/>
  <c r="E57" i="16" s="1"/>
  <c r="E56" i="16" s="1"/>
  <c r="E55" i="16" s="1"/>
  <c r="E54" i="16" s="1"/>
  <c r="E53" i="16" s="1"/>
  <c r="E52" i="16" s="1"/>
  <c r="E51" i="16" s="1"/>
  <c r="E50" i="16" s="1"/>
  <c r="E49" i="16" s="1"/>
  <c r="E48" i="16" s="1"/>
  <c r="E47" i="16" s="1"/>
  <c r="E46" i="16" s="1"/>
  <c r="G53" i="16" l="1"/>
  <c r="G54" i="16"/>
  <c r="G59" i="16"/>
  <c r="G67" i="16"/>
  <c r="G68" i="16"/>
  <c r="G69" i="16"/>
  <c r="F53" i="16"/>
  <c r="F54" i="16"/>
  <c r="F55" i="16"/>
  <c r="F56" i="16"/>
  <c r="F57" i="16"/>
  <c r="G57" i="16" s="1"/>
  <c r="F58" i="16"/>
  <c r="G58" i="16" s="1"/>
  <c r="F59" i="16"/>
  <c r="F60" i="16"/>
  <c r="G60" i="16" s="1"/>
  <c r="F61" i="16"/>
  <c r="G61" i="16" s="1"/>
  <c r="F62" i="16"/>
  <c r="G62" i="16" s="1"/>
  <c r="F63" i="16"/>
  <c r="G63" i="16" s="1"/>
  <c r="F64" i="16"/>
  <c r="G64" i="16" s="1"/>
  <c r="F65" i="16"/>
  <c r="G65" i="16" s="1"/>
  <c r="F66" i="16"/>
  <c r="G66" i="16" s="1"/>
  <c r="F67" i="16"/>
  <c r="F68" i="16"/>
  <c r="F69" i="16"/>
  <c r="G55" i="16"/>
  <c r="G56" i="16" l="1"/>
  <c r="S14" i="10"/>
  <c r="D146" i="20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E45" i="16"/>
  <c r="E44" i="16" s="1"/>
  <c r="E43" i="16" s="1"/>
  <c r="E42" i="16" s="1"/>
  <c r="E41" i="16" s="1"/>
  <c r="E40" i="16" s="1"/>
  <c r="E39" i="16" s="1"/>
  <c r="E38" i="16" s="1"/>
  <c r="E37" i="16" s="1"/>
  <c r="E36" i="16" s="1"/>
  <c r="E35" i="16" s="1"/>
  <c r="E34" i="16" s="1"/>
  <c r="E33" i="16" s="1"/>
  <c r="E32" i="16" s="1"/>
  <c r="E31" i="16" s="1"/>
  <c r="E30" i="16" s="1"/>
  <c r="E29" i="16" s="1"/>
  <c r="E28" i="16" s="1"/>
  <c r="E27" i="16" s="1"/>
  <c r="E26" i="16" s="1"/>
  <c r="E25" i="16" s="1"/>
  <c r="E24" i="16" s="1"/>
  <c r="E23" i="16" s="1"/>
  <c r="E22" i="16" s="1"/>
  <c r="E21" i="16" s="1"/>
  <c r="E20" i="16" s="1"/>
  <c r="E19" i="16" s="1"/>
  <c r="E18" i="16" s="1"/>
  <c r="E17" i="16" s="1"/>
  <c r="E16" i="16" s="1"/>
  <c r="E15" i="16" s="1"/>
  <c r="E14" i="16" s="1"/>
  <c r="E13" i="16" s="1"/>
  <c r="E12" i="16" s="1"/>
  <c r="E11" i="16" s="1"/>
  <c r="E10" i="16" s="1"/>
  <c r="E9" i="16" s="1"/>
  <c r="E8" i="16" s="1"/>
  <c r="E7" i="16" s="1"/>
  <c r="E6" i="16" s="1"/>
  <c r="E5" i="16" s="1"/>
  <c r="E4" i="16" s="1"/>
  <c r="E3" i="16" s="1"/>
  <c r="E2" i="16" s="1"/>
  <c r="D145" i="20"/>
  <c r="D144" i="20"/>
  <c r="G6" i="16" l="1"/>
  <c r="G50" i="16"/>
  <c r="G46" i="16"/>
  <c r="G42" i="16"/>
  <c r="G38" i="16"/>
  <c r="G34" i="16"/>
  <c r="G30" i="16"/>
  <c r="G26" i="16"/>
  <c r="G22" i="16"/>
  <c r="G18" i="16"/>
  <c r="G14" i="16"/>
  <c r="G10" i="16"/>
  <c r="G49" i="16"/>
  <c r="G45" i="16"/>
  <c r="G41" i="16"/>
  <c r="G37" i="16"/>
  <c r="G33" i="16"/>
  <c r="G29" i="16"/>
  <c r="G25" i="16"/>
  <c r="G21" i="16"/>
  <c r="G17" i="16"/>
  <c r="G13" i="16"/>
  <c r="G9" i="16"/>
  <c r="G5" i="16"/>
  <c r="G52" i="16"/>
  <c r="G48" i="16"/>
  <c r="G44" i="16"/>
  <c r="G40" i="16"/>
  <c r="G36" i="16"/>
  <c r="G32" i="16"/>
  <c r="G28" i="16"/>
  <c r="G24" i="16"/>
  <c r="G20" i="16"/>
  <c r="G16" i="16"/>
  <c r="G12" i="16"/>
  <c r="G8" i="16"/>
  <c r="G4" i="16"/>
  <c r="G51" i="16"/>
  <c r="G47" i="16"/>
  <c r="G43" i="16"/>
  <c r="G39" i="16"/>
  <c r="G35" i="16"/>
  <c r="G31" i="16"/>
  <c r="G27" i="16"/>
  <c r="G23" i="16"/>
  <c r="G19" i="16"/>
  <c r="G15" i="16"/>
  <c r="G11" i="16"/>
  <c r="G7" i="16"/>
  <c r="G3" i="16"/>
  <c r="C2" i="31"/>
  <c r="B2" i="31"/>
  <c r="D42" i="31"/>
  <c r="I23" i="31"/>
  <c r="H23" i="31"/>
  <c r="G23" i="31"/>
  <c r="I22" i="31"/>
  <c r="H22" i="31"/>
  <c r="G22" i="31"/>
  <c r="D22" i="31"/>
  <c r="H21" i="31"/>
  <c r="G21" i="31"/>
  <c r="D21" i="31"/>
  <c r="I21" i="31" s="1"/>
  <c r="I20" i="31"/>
  <c r="H20" i="31"/>
  <c r="G20" i="31"/>
  <c r="D20" i="31"/>
  <c r="H19" i="31"/>
  <c r="G19" i="31"/>
  <c r="D19" i="31"/>
  <c r="I19" i="31" s="1"/>
  <c r="I18" i="31"/>
  <c r="H18" i="31"/>
  <c r="G18" i="31"/>
  <c r="D18" i="31"/>
  <c r="H17" i="31"/>
  <c r="G17" i="31"/>
  <c r="D17" i="31"/>
  <c r="I17" i="31" s="1"/>
  <c r="I16" i="31"/>
  <c r="H16" i="31"/>
  <c r="G16" i="31"/>
  <c r="D16" i="31"/>
  <c r="H15" i="31"/>
  <c r="G15" i="31"/>
  <c r="D15" i="31"/>
  <c r="I15" i="31" s="1"/>
  <c r="I14" i="31"/>
  <c r="H14" i="31"/>
  <c r="G14" i="31"/>
  <c r="D14" i="31"/>
  <c r="H13" i="31"/>
  <c r="G13" i="31"/>
  <c r="D13" i="31"/>
  <c r="I13" i="31" s="1"/>
  <c r="I12" i="31"/>
  <c r="H12" i="31"/>
  <c r="G12" i="31"/>
  <c r="D12" i="31"/>
  <c r="H11" i="31"/>
  <c r="G11" i="31"/>
  <c r="D11" i="31"/>
  <c r="I11" i="31" s="1"/>
  <c r="I10" i="31"/>
  <c r="H10" i="31"/>
  <c r="G10" i="31"/>
  <c r="D10" i="31"/>
  <c r="H9" i="31"/>
  <c r="G9" i="31"/>
  <c r="D9" i="31"/>
  <c r="I9" i="31" s="1"/>
  <c r="I8" i="31"/>
  <c r="H8" i="31"/>
  <c r="G8" i="31"/>
  <c r="D8" i="31"/>
  <c r="H7" i="31"/>
  <c r="G7" i="31"/>
  <c r="D7" i="31"/>
  <c r="I7" i="31" s="1"/>
  <c r="H6" i="31"/>
  <c r="G6" i="31"/>
  <c r="D6" i="31"/>
  <c r="I6" i="31" s="1"/>
  <c r="H5" i="31"/>
  <c r="G5" i="31"/>
  <c r="D5" i="31"/>
  <c r="I5" i="31" s="1"/>
  <c r="H4" i="31"/>
  <c r="G4" i="31"/>
  <c r="D4" i="31"/>
  <c r="I4" i="31" s="1"/>
  <c r="H3" i="31"/>
  <c r="G3" i="31"/>
  <c r="D3" i="31"/>
  <c r="I3" i="31" s="1"/>
  <c r="H2" i="31"/>
  <c r="G2" i="31"/>
  <c r="C24" i="31"/>
  <c r="D2" i="31"/>
  <c r="H25" i="31" l="1"/>
  <c r="G25" i="31"/>
  <c r="I2" i="31"/>
  <c r="I25" i="31" s="1"/>
  <c r="D24" i="31"/>
  <c r="B24" i="31"/>
  <c r="G44" i="10"/>
  <c r="D143" i="20"/>
  <c r="H30" i="31" l="1"/>
  <c r="I30" i="31"/>
  <c r="E184" i="15" l="1"/>
  <c r="E185" i="15"/>
  <c r="E183" i="15"/>
  <c r="D142" i="20" l="1"/>
  <c r="D42" i="30"/>
  <c r="I23" i="30"/>
  <c r="H23" i="30"/>
  <c r="G23" i="30"/>
  <c r="H22" i="30"/>
  <c r="G22" i="30"/>
  <c r="D22" i="30"/>
  <c r="I22" i="30" s="1"/>
  <c r="H21" i="30"/>
  <c r="G21" i="30"/>
  <c r="D21" i="30"/>
  <c r="I21" i="30" s="1"/>
  <c r="H20" i="30"/>
  <c r="G20" i="30"/>
  <c r="D20" i="30"/>
  <c r="I20" i="30" s="1"/>
  <c r="H19" i="30"/>
  <c r="G19" i="30"/>
  <c r="D19" i="30"/>
  <c r="I19" i="30" s="1"/>
  <c r="H18" i="30"/>
  <c r="G18" i="30"/>
  <c r="D18" i="30"/>
  <c r="I18" i="30" s="1"/>
  <c r="H17" i="30"/>
  <c r="G17" i="30"/>
  <c r="D17" i="30"/>
  <c r="I17" i="30" s="1"/>
  <c r="H16" i="30"/>
  <c r="G16" i="30"/>
  <c r="D16" i="30"/>
  <c r="I16" i="30" s="1"/>
  <c r="H15" i="30"/>
  <c r="G15" i="30"/>
  <c r="D15" i="30"/>
  <c r="I15" i="30" s="1"/>
  <c r="H14" i="30"/>
  <c r="G14" i="30"/>
  <c r="D14" i="30"/>
  <c r="I14" i="30" s="1"/>
  <c r="H13" i="30"/>
  <c r="G13" i="30"/>
  <c r="D13" i="30"/>
  <c r="I13" i="30" s="1"/>
  <c r="H12" i="30"/>
  <c r="G12" i="30"/>
  <c r="D12" i="30"/>
  <c r="I12" i="30" s="1"/>
  <c r="H11" i="30"/>
  <c r="G11" i="30"/>
  <c r="D11" i="30"/>
  <c r="I11" i="30" s="1"/>
  <c r="H10" i="30"/>
  <c r="G10" i="30"/>
  <c r="D10" i="30"/>
  <c r="I10" i="30" s="1"/>
  <c r="H9" i="30"/>
  <c r="G9" i="30"/>
  <c r="D9" i="30"/>
  <c r="I9" i="30" s="1"/>
  <c r="H8" i="30"/>
  <c r="G8" i="30"/>
  <c r="D8" i="30"/>
  <c r="I8" i="30" s="1"/>
  <c r="H7" i="30"/>
  <c r="G7" i="30"/>
  <c r="D7" i="30"/>
  <c r="I7" i="30" s="1"/>
  <c r="H6" i="30"/>
  <c r="G6" i="30"/>
  <c r="D6" i="30"/>
  <c r="I6" i="30" s="1"/>
  <c r="H5" i="30"/>
  <c r="G5" i="30"/>
  <c r="D5" i="30"/>
  <c r="I5" i="30" s="1"/>
  <c r="H4" i="30"/>
  <c r="G4" i="30"/>
  <c r="G25" i="30" s="1"/>
  <c r="G30" i="30" s="1"/>
  <c r="D4" i="30"/>
  <c r="I4" i="30" s="1"/>
  <c r="H3" i="30"/>
  <c r="G3" i="30"/>
  <c r="D3" i="30"/>
  <c r="I3" i="30" s="1"/>
  <c r="D141" i="20" l="1"/>
  <c r="F2" i="16" l="1"/>
  <c r="G2" i="16" s="1"/>
  <c r="F185" i="15" l="1"/>
  <c r="D140" i="20"/>
  <c r="F184" i="15" l="1"/>
  <c r="D42" i="29"/>
  <c r="I23" i="29"/>
  <c r="H23" i="29"/>
  <c r="G23" i="29"/>
  <c r="I22" i="29"/>
  <c r="H22" i="29"/>
  <c r="G22" i="29"/>
  <c r="D22" i="29"/>
  <c r="I21" i="29"/>
  <c r="H21" i="29"/>
  <c r="G21" i="29"/>
  <c r="D21" i="29"/>
  <c r="I20" i="29"/>
  <c r="H20" i="29"/>
  <c r="G20" i="29"/>
  <c r="D20" i="29"/>
  <c r="I19" i="29"/>
  <c r="H19" i="29"/>
  <c r="G19" i="29"/>
  <c r="D19" i="29"/>
  <c r="I18" i="29"/>
  <c r="H18" i="29"/>
  <c r="G18" i="29"/>
  <c r="D18" i="29"/>
  <c r="I17" i="29"/>
  <c r="H17" i="29"/>
  <c r="G17" i="29"/>
  <c r="D17" i="29"/>
  <c r="I16" i="29"/>
  <c r="H16" i="29"/>
  <c r="G16" i="29"/>
  <c r="D16" i="29"/>
  <c r="I15" i="29"/>
  <c r="H15" i="29"/>
  <c r="G15" i="29"/>
  <c r="D15" i="29"/>
  <c r="I14" i="29"/>
  <c r="H14" i="29"/>
  <c r="G14" i="29"/>
  <c r="D14" i="29"/>
  <c r="I13" i="29"/>
  <c r="H13" i="29"/>
  <c r="G13" i="29"/>
  <c r="D13" i="29"/>
  <c r="I12" i="29"/>
  <c r="H12" i="29"/>
  <c r="G12" i="29"/>
  <c r="D12" i="29"/>
  <c r="I11" i="29"/>
  <c r="H11" i="29"/>
  <c r="G11" i="29"/>
  <c r="D11" i="29"/>
  <c r="I10" i="29"/>
  <c r="H10" i="29"/>
  <c r="G10" i="29"/>
  <c r="D10" i="29"/>
  <c r="I9" i="29"/>
  <c r="H9" i="29"/>
  <c r="G9" i="29"/>
  <c r="D9" i="29"/>
  <c r="I8" i="29"/>
  <c r="H8" i="29"/>
  <c r="G8" i="29"/>
  <c r="D8" i="29"/>
  <c r="I7" i="29"/>
  <c r="H7" i="29"/>
  <c r="G7" i="29"/>
  <c r="D7" i="29"/>
  <c r="I6" i="29"/>
  <c r="H6" i="29"/>
  <c r="G6" i="29"/>
  <c r="D6" i="29"/>
  <c r="H5" i="29"/>
  <c r="G5" i="29"/>
  <c r="D5" i="29"/>
  <c r="I5" i="29" s="1"/>
  <c r="H4" i="29"/>
  <c r="G4" i="29"/>
  <c r="D4" i="29"/>
  <c r="I4" i="29" s="1"/>
  <c r="H3" i="29"/>
  <c r="G3" i="29"/>
  <c r="D3" i="29"/>
  <c r="I3" i="29" s="1"/>
  <c r="C177" i="20"/>
  <c r="H140" i="20"/>
  <c r="H141" i="20"/>
  <c r="I141" i="20" s="1"/>
  <c r="H142" i="20"/>
  <c r="H143" i="20"/>
  <c r="H144" i="20"/>
  <c r="H145" i="20"/>
  <c r="H146" i="20"/>
  <c r="H147" i="20"/>
  <c r="H148" i="20"/>
  <c r="H149" i="20"/>
  <c r="I149" i="20" s="1"/>
  <c r="H150" i="20"/>
  <c r="K150" i="20" s="1"/>
  <c r="K151" i="20"/>
  <c r="I140" i="20"/>
  <c r="D139" i="20"/>
  <c r="K149" i="20" l="1"/>
  <c r="J150" i="20"/>
  <c r="I150" i="20"/>
  <c r="J149" i="20"/>
  <c r="K148" i="20"/>
  <c r="J147" i="20"/>
  <c r="I148" i="20"/>
  <c r="J148" i="20"/>
  <c r="K147" i="20"/>
  <c r="I147" i="20"/>
  <c r="K146" i="20"/>
  <c r="J146" i="20"/>
  <c r="I146" i="20"/>
  <c r="J145" i="20"/>
  <c r="J144" i="20"/>
  <c r="I145" i="20"/>
  <c r="K145" i="20"/>
  <c r="I144" i="20"/>
  <c r="K144" i="20"/>
  <c r="J143" i="20"/>
  <c r="I143" i="20"/>
  <c r="K143" i="20"/>
  <c r="F183" i="15"/>
  <c r="J142" i="20"/>
  <c r="K142" i="20"/>
  <c r="I142" i="20"/>
  <c r="K141" i="20"/>
  <c r="J141" i="20"/>
  <c r="K140" i="20"/>
  <c r="J140" i="20"/>
  <c r="G43" i="10"/>
  <c r="D138" i="20" l="1"/>
  <c r="G42" i="10" l="1"/>
  <c r="E167" i="15" l="1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F182" i="15" l="1"/>
  <c r="F181" i="15"/>
  <c r="F180" i="15"/>
  <c r="F179" i="15"/>
  <c r="F178" i="15"/>
  <c r="F177" i="15"/>
  <c r="F176" i="15"/>
  <c r="F175" i="15"/>
  <c r="F174" i="15"/>
  <c r="F173" i="15"/>
  <c r="F172" i="15"/>
  <c r="F171" i="15"/>
  <c r="F170" i="15"/>
  <c r="F169" i="15"/>
  <c r="F168" i="15"/>
  <c r="F167" i="15"/>
  <c r="D137" i="20"/>
  <c r="D42" i="28" l="1"/>
  <c r="D2" i="28"/>
  <c r="C2" i="28"/>
  <c r="B2" i="28"/>
  <c r="I23" i="28"/>
  <c r="H23" i="28"/>
  <c r="G23" i="28"/>
  <c r="H22" i="28"/>
  <c r="G22" i="28"/>
  <c r="D22" i="28"/>
  <c r="I22" i="28" s="1"/>
  <c r="H21" i="28"/>
  <c r="G21" i="28"/>
  <c r="D21" i="28"/>
  <c r="I21" i="28" s="1"/>
  <c r="H20" i="28"/>
  <c r="G20" i="28"/>
  <c r="D20" i="28"/>
  <c r="I20" i="28" s="1"/>
  <c r="H19" i="28"/>
  <c r="G19" i="28"/>
  <c r="D19" i="28"/>
  <c r="I19" i="28" s="1"/>
  <c r="H18" i="28"/>
  <c r="G18" i="28"/>
  <c r="D18" i="28"/>
  <c r="I18" i="28" s="1"/>
  <c r="H17" i="28"/>
  <c r="G17" i="28"/>
  <c r="D17" i="28"/>
  <c r="I17" i="28" s="1"/>
  <c r="H16" i="28"/>
  <c r="G16" i="28"/>
  <c r="D16" i="28"/>
  <c r="I16" i="28" s="1"/>
  <c r="H15" i="28"/>
  <c r="G15" i="28"/>
  <c r="D15" i="28"/>
  <c r="I15" i="28" s="1"/>
  <c r="H14" i="28"/>
  <c r="G14" i="28"/>
  <c r="D14" i="28"/>
  <c r="I14" i="28" s="1"/>
  <c r="H13" i="28"/>
  <c r="G13" i="28"/>
  <c r="D13" i="28"/>
  <c r="I13" i="28" s="1"/>
  <c r="H12" i="28"/>
  <c r="G12" i="28"/>
  <c r="D12" i="28"/>
  <c r="I12" i="28" s="1"/>
  <c r="H11" i="28"/>
  <c r="G11" i="28"/>
  <c r="D11" i="28"/>
  <c r="I11" i="28" s="1"/>
  <c r="H10" i="28"/>
  <c r="G10" i="28"/>
  <c r="D10" i="28"/>
  <c r="I10" i="28" s="1"/>
  <c r="H9" i="28"/>
  <c r="G9" i="28"/>
  <c r="D9" i="28"/>
  <c r="I9" i="28" s="1"/>
  <c r="H8" i="28"/>
  <c r="G8" i="28"/>
  <c r="D8" i="28"/>
  <c r="I8" i="28" s="1"/>
  <c r="H7" i="28"/>
  <c r="G7" i="28"/>
  <c r="D7" i="28"/>
  <c r="I7" i="28" s="1"/>
  <c r="H6" i="28"/>
  <c r="G6" i="28"/>
  <c r="D6" i="28"/>
  <c r="I6" i="28" s="1"/>
  <c r="H5" i="28"/>
  <c r="G5" i="28"/>
  <c r="D5" i="28"/>
  <c r="I5" i="28" s="1"/>
  <c r="H4" i="28"/>
  <c r="G4" i="28"/>
  <c r="D4" i="28"/>
  <c r="I4" i="28" s="1"/>
  <c r="H3" i="28"/>
  <c r="G3" i="28"/>
  <c r="D3" i="28"/>
  <c r="I3" i="28" s="1"/>
  <c r="H2" i="28"/>
  <c r="H25" i="28" s="1"/>
  <c r="C24" i="28"/>
  <c r="C2" i="29" s="1"/>
  <c r="B24" i="28"/>
  <c r="B2" i="29" s="1"/>
  <c r="H2" i="29" l="1"/>
  <c r="H25" i="29" s="1"/>
  <c r="C24" i="29"/>
  <c r="C2" i="30" s="1"/>
  <c r="B24" i="29"/>
  <c r="B2" i="30" s="1"/>
  <c r="G2" i="29"/>
  <c r="G25" i="29" s="1"/>
  <c r="D2" i="29"/>
  <c r="G2" i="28"/>
  <c r="G25" i="28" s="1"/>
  <c r="H30" i="28" s="1"/>
  <c r="D136" i="20"/>
  <c r="H2" i="30" l="1"/>
  <c r="H25" i="30" s="1"/>
  <c r="C24" i="30"/>
  <c r="D2" i="30"/>
  <c r="G2" i="30"/>
  <c r="B24" i="30"/>
  <c r="H30" i="29"/>
  <c r="I2" i="29"/>
  <c r="I25" i="29" s="1"/>
  <c r="I30" i="29" s="1"/>
  <c r="D24" i="29"/>
  <c r="I2" i="28"/>
  <c r="I25" i="28" s="1"/>
  <c r="I30" i="28" s="1"/>
  <c r="D24" i="28"/>
  <c r="D135" i="20"/>
  <c r="D134" i="20"/>
  <c r="H30" i="30" l="1"/>
  <c r="I2" i="30"/>
  <c r="I25" i="30" s="1"/>
  <c r="I30" i="30" s="1"/>
  <c r="D24" i="30"/>
  <c r="D42" i="27"/>
  <c r="D133" i="20" l="1"/>
  <c r="B24" i="27"/>
  <c r="G39" i="10" l="1"/>
  <c r="G41" i="10"/>
  <c r="G40" i="10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E100" i="13"/>
  <c r="E99" i="13" s="1"/>
  <c r="E98" i="13" s="1"/>
  <c r="E97" i="13" s="1"/>
  <c r="E96" i="13" s="1"/>
  <c r="E95" i="13" s="1"/>
  <c r="E94" i="13" s="1"/>
  <c r="E93" i="13" s="1"/>
  <c r="E92" i="13" s="1"/>
  <c r="E91" i="13" s="1"/>
  <c r="E90" i="13" s="1"/>
  <c r="E89" i="13" s="1"/>
  <c r="E88" i="13" s="1"/>
  <c r="E87" i="13" s="1"/>
  <c r="E86" i="13" s="1"/>
  <c r="E85" i="13" s="1"/>
  <c r="E84" i="13" s="1"/>
  <c r="G84" i="13" s="1"/>
  <c r="H129" i="20"/>
  <c r="I129" i="20" s="1"/>
  <c r="H130" i="20"/>
  <c r="H131" i="20"/>
  <c r="H132" i="20"/>
  <c r="H133" i="20"/>
  <c r="H134" i="20"/>
  <c r="H135" i="20"/>
  <c r="H136" i="20"/>
  <c r="H137" i="20"/>
  <c r="H138" i="20"/>
  <c r="H139" i="20"/>
  <c r="D130" i="20"/>
  <c r="I30" i="26"/>
  <c r="H30" i="26"/>
  <c r="I25" i="26"/>
  <c r="H25" i="26"/>
  <c r="G25" i="26"/>
  <c r="G100" i="13" l="1"/>
  <c r="G99" i="13"/>
  <c r="G98" i="13"/>
  <c r="G97" i="13"/>
  <c r="G96" i="13"/>
  <c r="G94" i="13"/>
  <c r="G95" i="13"/>
  <c r="G93" i="13"/>
  <c r="G92" i="13"/>
  <c r="J139" i="20"/>
  <c r="G91" i="13"/>
  <c r="K139" i="20"/>
  <c r="I139" i="20"/>
  <c r="J138" i="20"/>
  <c r="K138" i="20"/>
  <c r="I138" i="20"/>
  <c r="J137" i="20"/>
  <c r="K137" i="20"/>
  <c r="I137" i="20"/>
  <c r="G90" i="13"/>
  <c r="J136" i="20"/>
  <c r="I136" i="20"/>
  <c r="K136" i="20"/>
  <c r="I135" i="20"/>
  <c r="J135" i="20"/>
  <c r="K135" i="20"/>
  <c r="J134" i="20"/>
  <c r="J133" i="20"/>
  <c r="I133" i="20"/>
  <c r="I134" i="20"/>
  <c r="K134" i="20"/>
  <c r="K133" i="20"/>
  <c r="I131" i="20"/>
  <c r="G88" i="13"/>
  <c r="G89" i="13"/>
  <c r="G87" i="13"/>
  <c r="G85" i="13"/>
  <c r="G86" i="13"/>
  <c r="I130" i="20"/>
  <c r="J132" i="20"/>
  <c r="J131" i="20"/>
  <c r="K130" i="20"/>
  <c r="I132" i="20"/>
  <c r="J130" i="20"/>
  <c r="E158" i="15"/>
  <c r="E159" i="15"/>
  <c r="E160" i="15"/>
  <c r="E161" i="15"/>
  <c r="E162" i="15"/>
  <c r="E163" i="15"/>
  <c r="E164" i="15"/>
  <c r="E165" i="15"/>
  <c r="E166" i="15"/>
  <c r="I23" i="27"/>
  <c r="H23" i="27"/>
  <c r="G23" i="27"/>
  <c r="H22" i="27"/>
  <c r="G22" i="27"/>
  <c r="D22" i="27"/>
  <c r="I22" i="27" s="1"/>
  <c r="H21" i="27"/>
  <c r="G21" i="27"/>
  <c r="D21" i="27"/>
  <c r="I21" i="27" s="1"/>
  <c r="H20" i="27"/>
  <c r="G20" i="27"/>
  <c r="D20" i="27"/>
  <c r="I20" i="27" s="1"/>
  <c r="H19" i="27"/>
  <c r="G19" i="27"/>
  <c r="D19" i="27"/>
  <c r="I19" i="27" s="1"/>
  <c r="H18" i="27"/>
  <c r="G18" i="27"/>
  <c r="D18" i="27"/>
  <c r="I18" i="27" s="1"/>
  <c r="H17" i="27"/>
  <c r="G17" i="27"/>
  <c r="D17" i="27"/>
  <c r="I17" i="27" s="1"/>
  <c r="H16" i="27"/>
  <c r="G16" i="27"/>
  <c r="D16" i="27"/>
  <c r="I16" i="27" s="1"/>
  <c r="H15" i="27"/>
  <c r="G15" i="27"/>
  <c r="D15" i="27"/>
  <c r="I15" i="27" s="1"/>
  <c r="H14" i="27"/>
  <c r="G14" i="27"/>
  <c r="D14" i="27"/>
  <c r="I14" i="27" s="1"/>
  <c r="H13" i="27"/>
  <c r="G13" i="27"/>
  <c r="D13" i="27"/>
  <c r="I13" i="27" s="1"/>
  <c r="H12" i="27"/>
  <c r="G12" i="27"/>
  <c r="D12" i="27"/>
  <c r="I12" i="27" s="1"/>
  <c r="H11" i="27"/>
  <c r="G11" i="27"/>
  <c r="D11" i="27"/>
  <c r="I11" i="27" s="1"/>
  <c r="H10" i="27"/>
  <c r="G10" i="27"/>
  <c r="D10" i="27"/>
  <c r="I10" i="27" s="1"/>
  <c r="H9" i="27"/>
  <c r="G9" i="27"/>
  <c r="D9" i="27"/>
  <c r="I9" i="27" s="1"/>
  <c r="H8" i="27"/>
  <c r="G8" i="27"/>
  <c r="D8" i="27"/>
  <c r="I8" i="27" s="1"/>
  <c r="H7" i="27"/>
  <c r="G7" i="27"/>
  <c r="D7" i="27"/>
  <c r="I7" i="27" s="1"/>
  <c r="H6" i="27"/>
  <c r="G6" i="27"/>
  <c r="D6" i="27"/>
  <c r="I6" i="27" s="1"/>
  <c r="H5" i="27"/>
  <c r="G5" i="27"/>
  <c r="D5" i="27"/>
  <c r="I5" i="27" s="1"/>
  <c r="H4" i="27"/>
  <c r="G4" i="27"/>
  <c r="D4" i="27"/>
  <c r="I4" i="27" s="1"/>
  <c r="H3" i="27"/>
  <c r="G3" i="27"/>
  <c r="D3" i="27"/>
  <c r="I3" i="27" s="1"/>
  <c r="G25" i="17"/>
  <c r="F166" i="15" l="1"/>
  <c r="F165" i="15"/>
  <c r="F164" i="15"/>
  <c r="F163" i="15"/>
  <c r="F162" i="15"/>
  <c r="F161" i="15"/>
  <c r="F160" i="15"/>
  <c r="F159" i="15"/>
  <c r="F158" i="15"/>
  <c r="D132" i="20" l="1"/>
  <c r="K132" i="20" s="1"/>
  <c r="D131" i="20"/>
  <c r="K131" i="20" s="1"/>
  <c r="E3" i="18" l="1"/>
  <c r="D4" i="18"/>
  <c r="L62" i="18"/>
  <c r="N6" i="18" s="1"/>
  <c r="N10" i="18" l="1"/>
  <c r="N11" i="18"/>
  <c r="G38" i="10"/>
  <c r="D129" i="20"/>
  <c r="D2" i="26" l="1"/>
  <c r="C2" i="26"/>
  <c r="C24" i="26" s="1"/>
  <c r="C2" i="27" s="1"/>
  <c r="B2" i="26"/>
  <c r="D42" i="26"/>
  <c r="I23" i="26"/>
  <c r="H23" i="26"/>
  <c r="G23" i="26"/>
  <c r="H22" i="26"/>
  <c r="G22" i="26"/>
  <c r="D22" i="26"/>
  <c r="I22" i="26" s="1"/>
  <c r="H21" i="26"/>
  <c r="G21" i="26"/>
  <c r="D21" i="26"/>
  <c r="I21" i="26" s="1"/>
  <c r="H20" i="26"/>
  <c r="G20" i="26"/>
  <c r="D20" i="26"/>
  <c r="I20" i="26" s="1"/>
  <c r="H19" i="26"/>
  <c r="G19" i="26"/>
  <c r="D19" i="26"/>
  <c r="I19" i="26" s="1"/>
  <c r="H18" i="26"/>
  <c r="G18" i="26"/>
  <c r="D18" i="26"/>
  <c r="I18" i="26" s="1"/>
  <c r="H17" i="26"/>
  <c r="G17" i="26"/>
  <c r="D17" i="26"/>
  <c r="I17" i="26" s="1"/>
  <c r="H16" i="26"/>
  <c r="G16" i="26"/>
  <c r="D16" i="26"/>
  <c r="I16" i="26" s="1"/>
  <c r="H15" i="26"/>
  <c r="G15" i="26"/>
  <c r="D15" i="26"/>
  <c r="I15" i="26" s="1"/>
  <c r="H14" i="26"/>
  <c r="G14" i="26"/>
  <c r="D14" i="26"/>
  <c r="I14" i="26" s="1"/>
  <c r="H13" i="26"/>
  <c r="G13" i="26"/>
  <c r="D13" i="26"/>
  <c r="I13" i="26" s="1"/>
  <c r="H12" i="26"/>
  <c r="G12" i="26"/>
  <c r="D12" i="26"/>
  <c r="I12" i="26" s="1"/>
  <c r="H11" i="26"/>
  <c r="G11" i="26"/>
  <c r="D11" i="26"/>
  <c r="I11" i="26" s="1"/>
  <c r="H10" i="26"/>
  <c r="G10" i="26"/>
  <c r="D10" i="26"/>
  <c r="I10" i="26" s="1"/>
  <c r="H9" i="26"/>
  <c r="G9" i="26"/>
  <c r="D9" i="26"/>
  <c r="I9" i="26" s="1"/>
  <c r="H8" i="26"/>
  <c r="G8" i="26"/>
  <c r="D8" i="26"/>
  <c r="I8" i="26" s="1"/>
  <c r="H7" i="26"/>
  <c r="G7" i="26"/>
  <c r="D7" i="26"/>
  <c r="I7" i="26" s="1"/>
  <c r="H6" i="26"/>
  <c r="G6" i="26"/>
  <c r="D6" i="26"/>
  <c r="I6" i="26" s="1"/>
  <c r="H5" i="26"/>
  <c r="G5" i="26"/>
  <c r="D5" i="26"/>
  <c r="I5" i="26" s="1"/>
  <c r="H4" i="26"/>
  <c r="G4" i="26"/>
  <c r="D4" i="26"/>
  <c r="I4" i="26" s="1"/>
  <c r="H3" i="26"/>
  <c r="G3" i="26"/>
  <c r="D3" i="26"/>
  <c r="I3" i="26" s="1"/>
  <c r="G2" i="26"/>
  <c r="I2" i="26"/>
  <c r="H2" i="26"/>
  <c r="B24" i="26"/>
  <c r="B2" i="27" s="1"/>
  <c r="H30" i="25"/>
  <c r="D128" i="20"/>
  <c r="H2" i="27" l="1"/>
  <c r="H25" i="27" s="1"/>
  <c r="C24" i="27"/>
  <c r="D2" i="27"/>
  <c r="G2" i="27"/>
  <c r="G25" i="27" s="1"/>
  <c r="D24" i="26"/>
  <c r="D127" i="20"/>
  <c r="H30" i="27" l="1"/>
  <c r="I2" i="27"/>
  <c r="I25" i="27" s="1"/>
  <c r="I30" i="27" s="1"/>
  <c r="D24" i="27"/>
  <c r="D42" i="25" l="1"/>
  <c r="E83" i="13" l="1"/>
  <c r="E82" i="13" s="1"/>
  <c r="E81" i="13" s="1"/>
  <c r="E80" i="13" s="1"/>
  <c r="E79" i="13" s="1"/>
  <c r="E78" i="13" s="1"/>
  <c r="E77" i="13" s="1"/>
  <c r="E76" i="13" s="1"/>
  <c r="E75" i="13" s="1"/>
  <c r="E74" i="13" s="1"/>
  <c r="E73" i="13" s="1"/>
  <c r="E72" i="13" s="1"/>
  <c r="E71" i="13" s="1"/>
  <c r="E70" i="13" s="1"/>
  <c r="E69" i="13" s="1"/>
  <c r="E68" i="13" s="1"/>
  <c r="E67" i="13" s="1"/>
  <c r="E66" i="13" s="1"/>
  <c r="E65" i="13" s="1"/>
  <c r="E64" i="13" s="1"/>
  <c r="E63" i="13" s="1"/>
  <c r="E62" i="13" s="1"/>
  <c r="E61" i="13" s="1"/>
  <c r="E60" i="13" s="1"/>
  <c r="E59" i="13" s="1"/>
  <c r="E58" i="13" s="1"/>
  <c r="E57" i="13" s="1"/>
  <c r="E56" i="13" s="1"/>
  <c r="E55" i="13" s="1"/>
  <c r="E54" i="13" s="1"/>
  <c r="E53" i="13" s="1"/>
  <c r="E52" i="13" s="1"/>
  <c r="H127" i="20"/>
  <c r="H128" i="20"/>
  <c r="D126" i="20"/>
  <c r="H126" i="20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F157" i="15" s="1"/>
  <c r="F156" i="15" l="1"/>
  <c r="F155" i="15"/>
  <c r="F154" i="15"/>
  <c r="F153" i="15"/>
  <c r="F152" i="15"/>
  <c r="F151" i="15"/>
  <c r="F150" i="15"/>
  <c r="F149" i="15"/>
  <c r="F148" i="15"/>
  <c r="F147" i="15"/>
  <c r="F146" i="15"/>
  <c r="F145" i="15"/>
  <c r="F144" i="15"/>
  <c r="C2" i="25"/>
  <c r="B2" i="25"/>
  <c r="I23" i="25"/>
  <c r="H23" i="25"/>
  <c r="G23" i="25"/>
  <c r="H22" i="25"/>
  <c r="G22" i="25"/>
  <c r="D22" i="25"/>
  <c r="I22" i="25" s="1"/>
  <c r="H21" i="25"/>
  <c r="G21" i="25"/>
  <c r="D21" i="25"/>
  <c r="I21" i="25" s="1"/>
  <c r="H20" i="25"/>
  <c r="G20" i="25"/>
  <c r="D20" i="25"/>
  <c r="I20" i="25" s="1"/>
  <c r="H19" i="25"/>
  <c r="G19" i="25"/>
  <c r="D19" i="25"/>
  <c r="I19" i="25" s="1"/>
  <c r="H18" i="25"/>
  <c r="G18" i="25"/>
  <c r="D18" i="25"/>
  <c r="I18" i="25" s="1"/>
  <c r="H17" i="25"/>
  <c r="G17" i="25"/>
  <c r="D17" i="25"/>
  <c r="I17" i="25" s="1"/>
  <c r="H16" i="25"/>
  <c r="G16" i="25"/>
  <c r="D16" i="25"/>
  <c r="I16" i="25" s="1"/>
  <c r="H15" i="25"/>
  <c r="G15" i="25"/>
  <c r="D15" i="25"/>
  <c r="I15" i="25" s="1"/>
  <c r="H14" i="25"/>
  <c r="G14" i="25"/>
  <c r="D14" i="25"/>
  <c r="I14" i="25" s="1"/>
  <c r="H13" i="25"/>
  <c r="G13" i="25"/>
  <c r="D13" i="25"/>
  <c r="I13" i="25" s="1"/>
  <c r="H12" i="25"/>
  <c r="G12" i="25"/>
  <c r="D12" i="25"/>
  <c r="I12" i="25" s="1"/>
  <c r="H11" i="25"/>
  <c r="G11" i="25"/>
  <c r="D11" i="25"/>
  <c r="I11" i="25" s="1"/>
  <c r="H10" i="25"/>
  <c r="G10" i="25"/>
  <c r="D10" i="25"/>
  <c r="I10" i="25" s="1"/>
  <c r="H9" i="25"/>
  <c r="G9" i="25"/>
  <c r="D9" i="25"/>
  <c r="I9" i="25" s="1"/>
  <c r="H8" i="25"/>
  <c r="G8" i="25"/>
  <c r="D8" i="25"/>
  <c r="I8" i="25" s="1"/>
  <c r="H7" i="25"/>
  <c r="G7" i="25"/>
  <c r="D7" i="25"/>
  <c r="I7" i="25" s="1"/>
  <c r="H6" i="25"/>
  <c r="G6" i="25"/>
  <c r="D6" i="25"/>
  <c r="I6" i="25" s="1"/>
  <c r="H5" i="25"/>
  <c r="G5" i="25"/>
  <c r="D5" i="25"/>
  <c r="I5" i="25" s="1"/>
  <c r="H4" i="25"/>
  <c r="G4" i="25"/>
  <c r="D4" i="25"/>
  <c r="I4" i="25" s="1"/>
  <c r="H3" i="25"/>
  <c r="G3" i="25"/>
  <c r="D3" i="25"/>
  <c r="I3" i="25" s="1"/>
  <c r="H2" i="25"/>
  <c r="H25" i="25" s="1"/>
  <c r="C24" i="25"/>
  <c r="B24" i="25"/>
  <c r="H125" i="20"/>
  <c r="G2" i="25" l="1"/>
  <c r="G25" i="25" s="1"/>
  <c r="D2" i="25"/>
  <c r="D42" i="24"/>
  <c r="I2" i="25" l="1"/>
  <c r="I25" i="25" s="1"/>
  <c r="I30" i="25" s="1"/>
  <c r="D24" i="25"/>
  <c r="Q74" i="10"/>
  <c r="Q75" i="10"/>
  <c r="Q76" i="10"/>
  <c r="Q73" i="10"/>
  <c r="Q78" i="10" s="1"/>
  <c r="N16" i="18"/>
  <c r="F66" i="13"/>
  <c r="F67" i="13"/>
  <c r="F68" i="13"/>
  <c r="F69" i="13"/>
  <c r="F70" i="13"/>
  <c r="F71" i="13"/>
  <c r="F72" i="13"/>
  <c r="F73" i="13"/>
  <c r="F74" i="13"/>
  <c r="F75" i="13"/>
  <c r="G75" i="13" s="1"/>
  <c r="F76" i="13"/>
  <c r="G76" i="13" s="1"/>
  <c r="F77" i="13"/>
  <c r="G77" i="13" s="1"/>
  <c r="F78" i="13"/>
  <c r="G78" i="13" s="1"/>
  <c r="F79" i="13"/>
  <c r="G79" i="13" s="1"/>
  <c r="F80" i="13"/>
  <c r="G80" i="13" s="1"/>
  <c r="F81" i="13"/>
  <c r="G81" i="13" s="1"/>
  <c r="F82" i="13"/>
  <c r="G82" i="13" s="1"/>
  <c r="F83" i="13"/>
  <c r="G83" i="13" s="1"/>
  <c r="G74" i="13" l="1"/>
  <c r="G73" i="13"/>
  <c r="G72" i="13"/>
  <c r="G71" i="13"/>
  <c r="G70" i="13"/>
  <c r="G69" i="13"/>
  <c r="G68" i="13"/>
  <c r="G67" i="13"/>
  <c r="G66" i="13"/>
  <c r="H124" i="20"/>
  <c r="G37" i="10" l="1"/>
  <c r="F64" i="13" l="1"/>
  <c r="F65" i="13"/>
  <c r="G65" i="13" l="1"/>
  <c r="G64" i="13"/>
  <c r="G36" i="10"/>
  <c r="H123" i="20" l="1"/>
  <c r="D3" i="24" l="1"/>
  <c r="D4" i="24"/>
  <c r="I4" i="24" s="1"/>
  <c r="D5" i="24"/>
  <c r="I5" i="24" s="1"/>
  <c r="D6" i="24"/>
  <c r="D7" i="24"/>
  <c r="D8" i="24"/>
  <c r="D9" i="24"/>
  <c r="I9" i="24" s="1"/>
  <c r="D10" i="24"/>
  <c r="D11" i="24"/>
  <c r="D12" i="24"/>
  <c r="D13" i="24"/>
  <c r="I13" i="24" s="1"/>
  <c r="D14" i="24"/>
  <c r="D15" i="24"/>
  <c r="D16" i="24"/>
  <c r="D17" i="24"/>
  <c r="I17" i="24" s="1"/>
  <c r="D18" i="24"/>
  <c r="D19" i="24"/>
  <c r="D20" i="24"/>
  <c r="I20" i="24" s="1"/>
  <c r="D21" i="24"/>
  <c r="I21" i="24" s="1"/>
  <c r="D22" i="24"/>
  <c r="C2" i="24"/>
  <c r="B2" i="24"/>
  <c r="B24" i="24" s="1"/>
  <c r="I23" i="24"/>
  <c r="H23" i="24"/>
  <c r="G23" i="24"/>
  <c r="I22" i="24"/>
  <c r="H22" i="24"/>
  <c r="G22" i="24"/>
  <c r="H21" i="24"/>
  <c r="G21" i="24"/>
  <c r="H20" i="24"/>
  <c r="G20" i="24"/>
  <c r="I19" i="24"/>
  <c r="H19" i="24"/>
  <c r="G19" i="24"/>
  <c r="I18" i="24"/>
  <c r="H18" i="24"/>
  <c r="G18" i="24"/>
  <c r="H17" i="24"/>
  <c r="G17" i="24"/>
  <c r="I16" i="24"/>
  <c r="H16" i="24"/>
  <c r="G16" i="24"/>
  <c r="I15" i="24"/>
  <c r="H15" i="24"/>
  <c r="G15" i="24"/>
  <c r="I14" i="24"/>
  <c r="H14" i="24"/>
  <c r="G14" i="24"/>
  <c r="H13" i="24"/>
  <c r="G13" i="24"/>
  <c r="I12" i="24"/>
  <c r="H12" i="24"/>
  <c r="G12" i="24"/>
  <c r="I11" i="24"/>
  <c r="H11" i="24"/>
  <c r="G11" i="24"/>
  <c r="I10" i="24"/>
  <c r="H10" i="24"/>
  <c r="G10" i="24"/>
  <c r="H9" i="24"/>
  <c r="G9" i="24"/>
  <c r="I8" i="24"/>
  <c r="H8" i="24"/>
  <c r="G8" i="24"/>
  <c r="I7" i="24"/>
  <c r="H7" i="24"/>
  <c r="G7" i="24"/>
  <c r="I6" i="24"/>
  <c r="H6" i="24"/>
  <c r="G6" i="24"/>
  <c r="H5" i="24"/>
  <c r="G5" i="24"/>
  <c r="H4" i="24"/>
  <c r="G4" i="24"/>
  <c r="H3" i="24"/>
  <c r="G3" i="24"/>
  <c r="I3" i="24"/>
  <c r="H2" i="24"/>
  <c r="H25" i="23"/>
  <c r="H122" i="20"/>
  <c r="H25" i="24" l="1"/>
  <c r="C24" i="24"/>
  <c r="D2" i="24"/>
  <c r="G2" i="24"/>
  <c r="G25" i="24" s="1"/>
  <c r="H121" i="20"/>
  <c r="H30" i="24" l="1"/>
  <c r="I2" i="24"/>
  <c r="I25" i="24" s="1"/>
  <c r="I30" i="24" s="1"/>
  <c r="D24" i="24"/>
  <c r="K129" i="20" l="1"/>
  <c r="J129" i="20"/>
  <c r="E136" i="15"/>
  <c r="E137" i="15"/>
  <c r="E138" i="15"/>
  <c r="F138" i="15" s="1"/>
  <c r="E139" i="15"/>
  <c r="F139" i="15" s="1"/>
  <c r="E140" i="15"/>
  <c r="F140" i="15" s="1"/>
  <c r="E141" i="15"/>
  <c r="F141" i="15" s="1"/>
  <c r="E142" i="15"/>
  <c r="F142" i="15" s="1"/>
  <c r="F143" i="15"/>
  <c r="J128" i="20" l="1"/>
  <c r="K128" i="20"/>
  <c r="I128" i="20"/>
  <c r="F137" i="15"/>
  <c r="F136" i="15"/>
  <c r="I127" i="20" l="1"/>
  <c r="K127" i="20"/>
  <c r="J127" i="20"/>
  <c r="K126" i="20" l="1"/>
  <c r="J126" i="20"/>
  <c r="H120" i="20"/>
  <c r="J125" i="20" l="1"/>
  <c r="D42" i="23"/>
  <c r="I23" i="23"/>
  <c r="H23" i="23"/>
  <c r="G23" i="23"/>
  <c r="H22" i="23"/>
  <c r="G22" i="23"/>
  <c r="D22" i="23"/>
  <c r="I22" i="23" s="1"/>
  <c r="H21" i="23"/>
  <c r="G21" i="23"/>
  <c r="D21" i="23"/>
  <c r="I21" i="23" s="1"/>
  <c r="H20" i="23"/>
  <c r="G20" i="23"/>
  <c r="D20" i="23"/>
  <c r="I20" i="23" s="1"/>
  <c r="H19" i="23"/>
  <c r="G19" i="23"/>
  <c r="D19" i="23"/>
  <c r="I19" i="23" s="1"/>
  <c r="H18" i="23"/>
  <c r="G18" i="23"/>
  <c r="D18" i="23"/>
  <c r="I18" i="23" s="1"/>
  <c r="H17" i="23"/>
  <c r="G17" i="23"/>
  <c r="D17" i="23"/>
  <c r="I17" i="23" s="1"/>
  <c r="H16" i="23"/>
  <c r="G16" i="23"/>
  <c r="D16" i="23"/>
  <c r="I16" i="23" s="1"/>
  <c r="H15" i="23"/>
  <c r="G15" i="23"/>
  <c r="D15" i="23"/>
  <c r="I15" i="23" s="1"/>
  <c r="H14" i="23"/>
  <c r="G14" i="23"/>
  <c r="D14" i="23"/>
  <c r="I14" i="23" s="1"/>
  <c r="H13" i="23"/>
  <c r="G13" i="23"/>
  <c r="D13" i="23"/>
  <c r="I13" i="23" s="1"/>
  <c r="H12" i="23"/>
  <c r="G12" i="23"/>
  <c r="D12" i="23"/>
  <c r="I12" i="23" s="1"/>
  <c r="H11" i="23"/>
  <c r="G11" i="23"/>
  <c r="D11" i="23"/>
  <c r="I11" i="23" s="1"/>
  <c r="H10" i="23"/>
  <c r="G10" i="23"/>
  <c r="D10" i="23"/>
  <c r="I10" i="23" s="1"/>
  <c r="H9" i="23"/>
  <c r="G9" i="23"/>
  <c r="D9" i="23"/>
  <c r="I9" i="23" s="1"/>
  <c r="H8" i="23"/>
  <c r="G8" i="23"/>
  <c r="D8" i="23"/>
  <c r="I8" i="23" s="1"/>
  <c r="H7" i="23"/>
  <c r="G7" i="23"/>
  <c r="D7" i="23"/>
  <c r="I7" i="23" s="1"/>
  <c r="H6" i="23"/>
  <c r="G6" i="23"/>
  <c r="D6" i="23"/>
  <c r="I6" i="23" s="1"/>
  <c r="H5" i="23"/>
  <c r="G5" i="23"/>
  <c r="D5" i="23"/>
  <c r="I5" i="23" s="1"/>
  <c r="H4" i="23"/>
  <c r="G4" i="23"/>
  <c r="D4" i="23"/>
  <c r="I4" i="23" s="1"/>
  <c r="H3" i="23"/>
  <c r="G3" i="23"/>
  <c r="D3" i="23"/>
  <c r="I3" i="23" s="1"/>
  <c r="F58" i="13"/>
  <c r="F59" i="13"/>
  <c r="F60" i="13"/>
  <c r="F61" i="13"/>
  <c r="F62" i="13"/>
  <c r="F63" i="13"/>
  <c r="F57" i="13"/>
  <c r="F56" i="13"/>
  <c r="J124" i="20" l="1"/>
  <c r="D42" i="22"/>
  <c r="J123" i="20" l="1"/>
  <c r="G30" i="10"/>
  <c r="G31" i="10"/>
  <c r="G33" i="10"/>
  <c r="G34" i="10"/>
  <c r="G35" i="10"/>
  <c r="G29" i="10"/>
  <c r="J122" i="20" l="1"/>
  <c r="H119" i="20"/>
  <c r="H118" i="20"/>
  <c r="G63" i="13" l="1"/>
  <c r="F52" i="13"/>
  <c r="G62" i="13" l="1"/>
  <c r="D4" i="21"/>
  <c r="I4" i="21" s="1"/>
  <c r="H4" i="21"/>
  <c r="G4" i="21"/>
  <c r="I23" i="22"/>
  <c r="H23" i="22"/>
  <c r="G23" i="22"/>
  <c r="H22" i="22"/>
  <c r="G22" i="22"/>
  <c r="D22" i="22"/>
  <c r="I22" i="22" s="1"/>
  <c r="H21" i="22"/>
  <c r="G21" i="22"/>
  <c r="D21" i="22"/>
  <c r="I21" i="22" s="1"/>
  <c r="H20" i="22"/>
  <c r="G20" i="22"/>
  <c r="D20" i="22"/>
  <c r="I20" i="22" s="1"/>
  <c r="H19" i="22"/>
  <c r="G19" i="22"/>
  <c r="D19" i="22"/>
  <c r="I19" i="22" s="1"/>
  <c r="H18" i="22"/>
  <c r="G18" i="22"/>
  <c r="D18" i="22"/>
  <c r="I18" i="22" s="1"/>
  <c r="H17" i="22"/>
  <c r="G17" i="22"/>
  <c r="D17" i="22"/>
  <c r="I17" i="22" s="1"/>
  <c r="H16" i="22"/>
  <c r="G16" i="22"/>
  <c r="D16" i="22"/>
  <c r="I16" i="22" s="1"/>
  <c r="H15" i="22"/>
  <c r="G15" i="22"/>
  <c r="D15" i="22"/>
  <c r="I15" i="22" s="1"/>
  <c r="H14" i="22"/>
  <c r="G14" i="22"/>
  <c r="D14" i="22"/>
  <c r="I14" i="22" s="1"/>
  <c r="H13" i="22"/>
  <c r="G13" i="22"/>
  <c r="D13" i="22"/>
  <c r="I13" i="22" s="1"/>
  <c r="H12" i="22"/>
  <c r="G12" i="22"/>
  <c r="D12" i="22"/>
  <c r="I12" i="22" s="1"/>
  <c r="H11" i="22"/>
  <c r="G11" i="22"/>
  <c r="D11" i="22"/>
  <c r="I11" i="22" s="1"/>
  <c r="H10" i="22"/>
  <c r="G10" i="22"/>
  <c r="D10" i="22"/>
  <c r="I10" i="22" s="1"/>
  <c r="H9" i="22"/>
  <c r="G9" i="22"/>
  <c r="D9" i="22"/>
  <c r="I9" i="22" s="1"/>
  <c r="H8" i="22"/>
  <c r="G8" i="22"/>
  <c r="D8" i="22"/>
  <c r="I8" i="22" s="1"/>
  <c r="H7" i="22"/>
  <c r="G7" i="22"/>
  <c r="D7" i="22"/>
  <c r="I7" i="22" s="1"/>
  <c r="H6" i="22"/>
  <c r="G6" i="22"/>
  <c r="D6" i="22"/>
  <c r="I6" i="22" s="1"/>
  <c r="H5" i="22"/>
  <c r="G5" i="22"/>
  <c r="D5" i="22"/>
  <c r="I5" i="22" s="1"/>
  <c r="H4" i="22"/>
  <c r="G4" i="22"/>
  <c r="D4" i="22"/>
  <c r="I4" i="22" s="1"/>
  <c r="H3" i="22"/>
  <c r="G3" i="22"/>
  <c r="D3" i="22"/>
  <c r="I3" i="22" s="1"/>
  <c r="H117" i="20"/>
  <c r="G61" i="13" l="1"/>
  <c r="G60" i="13" l="1"/>
  <c r="G59" i="13" l="1"/>
  <c r="F47" i="13"/>
  <c r="F48" i="13"/>
  <c r="F49" i="13"/>
  <c r="F50" i="13"/>
  <c r="F51" i="13"/>
  <c r="F53" i="13"/>
  <c r="F54" i="13"/>
  <c r="F55" i="13"/>
  <c r="D44" i="21"/>
  <c r="H116" i="20"/>
  <c r="G57" i="13" l="1"/>
  <c r="G58" i="13"/>
  <c r="G56" i="13" l="1"/>
  <c r="H115" i="20"/>
  <c r="F42" i="13"/>
  <c r="F43" i="13"/>
  <c r="F44" i="13"/>
  <c r="F45" i="13"/>
  <c r="F46" i="13"/>
  <c r="F41" i="13"/>
  <c r="F40" i="13"/>
  <c r="G55" i="13" l="1"/>
  <c r="G54" i="13" l="1"/>
  <c r="F39" i="13"/>
  <c r="G53" i="13" l="1"/>
  <c r="I24" i="21"/>
  <c r="H24" i="21"/>
  <c r="G24" i="21"/>
  <c r="H23" i="21"/>
  <c r="G23" i="21"/>
  <c r="D23" i="21"/>
  <c r="I23" i="21" s="1"/>
  <c r="H22" i="21"/>
  <c r="G22" i="21"/>
  <c r="D22" i="21"/>
  <c r="I22" i="21" s="1"/>
  <c r="H21" i="21"/>
  <c r="G21" i="21"/>
  <c r="D21" i="21"/>
  <c r="I21" i="21" s="1"/>
  <c r="H20" i="21"/>
  <c r="G20" i="21"/>
  <c r="D20" i="21"/>
  <c r="I20" i="21" s="1"/>
  <c r="H19" i="21"/>
  <c r="G19" i="21"/>
  <c r="D19" i="21"/>
  <c r="I19" i="21" s="1"/>
  <c r="H18" i="21"/>
  <c r="G18" i="21"/>
  <c r="D18" i="21"/>
  <c r="I18" i="21" s="1"/>
  <c r="H17" i="21"/>
  <c r="G17" i="21"/>
  <c r="D17" i="21"/>
  <c r="I17" i="21" s="1"/>
  <c r="H16" i="21"/>
  <c r="G16" i="21"/>
  <c r="D16" i="21"/>
  <c r="I16" i="21" s="1"/>
  <c r="H15" i="21"/>
  <c r="G15" i="21"/>
  <c r="D15" i="21"/>
  <c r="I15" i="21" s="1"/>
  <c r="H14" i="21"/>
  <c r="G14" i="21"/>
  <c r="D14" i="21"/>
  <c r="I14" i="21" s="1"/>
  <c r="H13" i="21"/>
  <c r="G13" i="21"/>
  <c r="D13" i="21"/>
  <c r="I13" i="21" s="1"/>
  <c r="H12" i="21"/>
  <c r="G12" i="21"/>
  <c r="D12" i="21"/>
  <c r="I12" i="21" s="1"/>
  <c r="H11" i="21"/>
  <c r="G11" i="21"/>
  <c r="D11" i="21"/>
  <c r="I11" i="21" s="1"/>
  <c r="H10" i="21"/>
  <c r="G10" i="21"/>
  <c r="D10" i="21"/>
  <c r="I10" i="21" s="1"/>
  <c r="H9" i="21"/>
  <c r="G9" i="21"/>
  <c r="D9" i="21"/>
  <c r="I9" i="21" s="1"/>
  <c r="H8" i="21"/>
  <c r="G8" i="21"/>
  <c r="D8" i="21"/>
  <c r="I8" i="21" s="1"/>
  <c r="H7" i="21"/>
  <c r="G7" i="21"/>
  <c r="D7" i="21"/>
  <c r="I7" i="21" s="1"/>
  <c r="H6" i="21"/>
  <c r="G6" i="21"/>
  <c r="D6" i="21"/>
  <c r="I6" i="21" s="1"/>
  <c r="H5" i="21"/>
  <c r="G5" i="21"/>
  <c r="D5" i="21"/>
  <c r="I5" i="21" s="1"/>
  <c r="H3" i="21"/>
  <c r="G3" i="21"/>
  <c r="D3" i="21"/>
  <c r="I3" i="21" s="1"/>
  <c r="D43" i="19"/>
  <c r="D113" i="20"/>
  <c r="D114" i="20"/>
  <c r="D115" i="20"/>
  <c r="D116" i="20"/>
  <c r="D117" i="20"/>
  <c r="D118" i="20"/>
  <c r="D119" i="20"/>
  <c r="D120" i="20"/>
  <c r="D121" i="20"/>
  <c r="D122" i="20"/>
  <c r="K122" i="20" s="1"/>
  <c r="D123" i="20"/>
  <c r="K123" i="20" s="1"/>
  <c r="D124" i="20"/>
  <c r="D125" i="20"/>
  <c r="K125" i="20" s="1"/>
  <c r="H114" i="20"/>
  <c r="H113" i="20"/>
  <c r="K124" i="20" l="1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F123" i="15" s="1"/>
  <c r="E124" i="15"/>
  <c r="E125" i="15"/>
  <c r="F125" i="15" s="1"/>
  <c r="E126" i="15"/>
  <c r="F126" i="15" s="1"/>
  <c r="E127" i="15"/>
  <c r="F127" i="15" s="1"/>
  <c r="E128" i="15"/>
  <c r="F128" i="15" s="1"/>
  <c r="E129" i="15"/>
  <c r="F129" i="15" s="1"/>
  <c r="E130" i="15"/>
  <c r="F130" i="15" s="1"/>
  <c r="E131" i="15"/>
  <c r="F131" i="15" s="1"/>
  <c r="E132" i="15"/>
  <c r="F132" i="15" s="1"/>
  <c r="E133" i="15"/>
  <c r="F133" i="15" s="1"/>
  <c r="E134" i="15"/>
  <c r="F134" i="15" s="1"/>
  <c r="E135" i="15"/>
  <c r="F135" i="15" s="1"/>
  <c r="E2" i="15"/>
  <c r="E51" i="13" l="1"/>
  <c r="G52" i="13"/>
  <c r="F124" i="15"/>
  <c r="F122" i="15"/>
  <c r="F121" i="15"/>
  <c r="J121" i="20" l="1"/>
  <c r="K121" i="20"/>
  <c r="J119" i="20"/>
  <c r="J120" i="20"/>
  <c r="K120" i="20"/>
  <c r="E50" i="13"/>
  <c r="G51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2" i="13"/>
  <c r="D112" i="20"/>
  <c r="H112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D97" i="20"/>
  <c r="D96" i="20"/>
  <c r="D95" i="20"/>
  <c r="D94" i="20"/>
  <c r="D93" i="20"/>
  <c r="D92" i="20"/>
  <c r="D91" i="20"/>
  <c r="D90" i="20"/>
  <c r="D89" i="20"/>
  <c r="D88" i="20"/>
  <c r="D87" i="20"/>
  <c r="D86" i="20"/>
  <c r="D85" i="20"/>
  <c r="D84" i="20"/>
  <c r="D83" i="20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0" i="20"/>
  <c r="D3" i="4"/>
  <c r="D26" i="20"/>
  <c r="D25" i="20"/>
  <c r="D24" i="20"/>
  <c r="D23" i="20"/>
  <c r="D22" i="20"/>
  <c r="D21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D177" i="20" l="1"/>
  <c r="I119" i="20"/>
  <c r="K119" i="20"/>
  <c r="J116" i="20"/>
  <c r="E49" i="13"/>
  <c r="G50" i="13"/>
  <c r="I126" i="20"/>
  <c r="N17" i="18" l="1"/>
  <c r="D184" i="20"/>
  <c r="I117" i="20"/>
  <c r="K116" i="20"/>
  <c r="J115" i="20"/>
  <c r="K118" i="20"/>
  <c r="J117" i="20"/>
  <c r="I118" i="20"/>
  <c r="I116" i="20"/>
  <c r="K117" i="20"/>
  <c r="J118" i="20"/>
  <c r="E48" i="13"/>
  <c r="G49" i="13"/>
  <c r="K115" i="20"/>
  <c r="I115" i="20"/>
  <c r="I125" i="20"/>
  <c r="I23" i="19"/>
  <c r="H23" i="19"/>
  <c r="G23" i="19"/>
  <c r="H22" i="19"/>
  <c r="G22" i="19"/>
  <c r="D22" i="19"/>
  <c r="I22" i="19" s="1"/>
  <c r="H21" i="19"/>
  <c r="G21" i="19"/>
  <c r="D21" i="19"/>
  <c r="I21" i="19" s="1"/>
  <c r="H20" i="19"/>
  <c r="G20" i="19"/>
  <c r="D20" i="19"/>
  <c r="I20" i="19" s="1"/>
  <c r="H19" i="19"/>
  <c r="G19" i="19"/>
  <c r="D19" i="19"/>
  <c r="I19" i="19" s="1"/>
  <c r="H18" i="19"/>
  <c r="G18" i="19"/>
  <c r="D18" i="19"/>
  <c r="I18" i="19" s="1"/>
  <c r="H17" i="19"/>
  <c r="G17" i="19"/>
  <c r="D17" i="19"/>
  <c r="I17" i="19" s="1"/>
  <c r="H16" i="19"/>
  <c r="G16" i="19"/>
  <c r="D16" i="19"/>
  <c r="I16" i="19" s="1"/>
  <c r="H15" i="19"/>
  <c r="G15" i="19"/>
  <c r="D15" i="19"/>
  <c r="I15" i="19" s="1"/>
  <c r="H14" i="19"/>
  <c r="G14" i="19"/>
  <c r="D14" i="19"/>
  <c r="I14" i="19" s="1"/>
  <c r="H13" i="19"/>
  <c r="G13" i="19"/>
  <c r="D13" i="19"/>
  <c r="I13" i="19" s="1"/>
  <c r="H12" i="19"/>
  <c r="G12" i="19"/>
  <c r="D12" i="19"/>
  <c r="I12" i="19" s="1"/>
  <c r="H11" i="19"/>
  <c r="G11" i="19"/>
  <c r="D11" i="19"/>
  <c r="I11" i="19" s="1"/>
  <c r="H10" i="19"/>
  <c r="G10" i="19"/>
  <c r="D10" i="19"/>
  <c r="I10" i="19" s="1"/>
  <c r="H9" i="19"/>
  <c r="G9" i="19"/>
  <c r="D9" i="19"/>
  <c r="I9" i="19" s="1"/>
  <c r="H8" i="19"/>
  <c r="G8" i="19"/>
  <c r="D8" i="19"/>
  <c r="I8" i="19" s="1"/>
  <c r="H7" i="19"/>
  <c r="G7" i="19"/>
  <c r="D7" i="19"/>
  <c r="I7" i="19" s="1"/>
  <c r="H6" i="19"/>
  <c r="G6" i="19"/>
  <c r="D6" i="19"/>
  <c r="I6" i="19" s="1"/>
  <c r="H5" i="19"/>
  <c r="G5" i="19"/>
  <c r="D5" i="19"/>
  <c r="I5" i="19" s="1"/>
  <c r="H4" i="19"/>
  <c r="G4" i="19"/>
  <c r="D4" i="19"/>
  <c r="I4" i="19" s="1"/>
  <c r="H3" i="19"/>
  <c r="G3" i="19"/>
  <c r="D3" i="19"/>
  <c r="I3" i="19" s="1"/>
  <c r="N31" i="18" l="1"/>
  <c r="K113" i="20"/>
  <c r="E47" i="13"/>
  <c r="G48" i="13"/>
  <c r="F120" i="15"/>
  <c r="I124" i="20"/>
  <c r="D55" i="17"/>
  <c r="J114" i="20" l="1"/>
  <c r="I111" i="20"/>
  <c r="K114" i="20"/>
  <c r="I113" i="20"/>
  <c r="J113" i="20"/>
  <c r="I114" i="20"/>
  <c r="E46" i="13"/>
  <c r="G47" i="13"/>
  <c r="F119" i="15"/>
  <c r="I123" i="20"/>
  <c r="K112" i="20" l="1"/>
  <c r="J112" i="20"/>
  <c r="K111" i="20"/>
  <c r="I112" i="20"/>
  <c r="J111" i="20"/>
  <c r="K110" i="20"/>
  <c r="E45" i="13"/>
  <c r="G46" i="13"/>
  <c r="F118" i="15"/>
  <c r="I122" i="20"/>
  <c r="J109" i="20" l="1"/>
  <c r="J110" i="20"/>
  <c r="I110" i="20"/>
  <c r="E44" i="13"/>
  <c r="G45" i="13"/>
  <c r="I109" i="20"/>
  <c r="J108" i="20"/>
  <c r="F117" i="15"/>
  <c r="I121" i="20"/>
  <c r="L63" i="18"/>
  <c r="D5" i="18"/>
  <c r="D6" i="18" s="1"/>
  <c r="D7" i="18" s="1"/>
  <c r="D8" i="18" s="1"/>
  <c r="D9" i="18" s="1"/>
  <c r="D10" i="18" s="1"/>
  <c r="D11" i="18" s="1"/>
  <c r="D12" i="18" s="1"/>
  <c r="D13" i="18" s="1"/>
  <c r="D14" i="18" s="1"/>
  <c r="D16" i="18" s="1"/>
  <c r="E16" i="18" s="1"/>
  <c r="C4" i="18"/>
  <c r="D17" i="18" l="1"/>
  <c r="D18" i="18" s="1"/>
  <c r="D19" i="18" s="1"/>
  <c r="D20" i="18" s="1"/>
  <c r="D21" i="18" s="1"/>
  <c r="D22" i="18" s="1"/>
  <c r="D23" i="18" s="1"/>
  <c r="D24" i="18" s="1"/>
  <c r="D25" i="18" s="1"/>
  <c r="D26" i="18" s="1"/>
  <c r="D27" i="18" s="1"/>
  <c r="D28" i="18" s="1"/>
  <c r="D29" i="18" s="1"/>
  <c r="D30" i="18" s="1"/>
  <c r="D31" i="18" s="1"/>
  <c r="D32" i="18" s="1"/>
  <c r="D33" i="18" s="1"/>
  <c r="D34" i="18" s="1"/>
  <c r="D35" i="18" s="1"/>
  <c r="D36" i="18" s="1"/>
  <c r="D37" i="18" s="1"/>
  <c r="D38" i="18" s="1"/>
  <c r="D39" i="18" s="1"/>
  <c r="D40" i="18" s="1"/>
  <c r="D41" i="18" s="1"/>
  <c r="D42" i="18" s="1"/>
  <c r="D43" i="18" s="1"/>
  <c r="D44" i="18" s="1"/>
  <c r="D45" i="18" s="1"/>
  <c r="D46" i="18" s="1"/>
  <c r="D47" i="18" s="1"/>
  <c r="D48" i="18" s="1"/>
  <c r="D49" i="18" s="1"/>
  <c r="D50" i="18" s="1"/>
  <c r="D51" i="18" s="1"/>
  <c r="D52" i="18" s="1"/>
  <c r="D53" i="18" s="1"/>
  <c r="D54" i="18" s="1"/>
  <c r="D55" i="18" s="1"/>
  <c r="D56" i="18" s="1"/>
  <c r="D57" i="18" s="1"/>
  <c r="D58" i="18" s="1"/>
  <c r="D59" i="18" s="1"/>
  <c r="D60" i="18" s="1"/>
  <c r="D61" i="18" s="1"/>
  <c r="D62" i="18" s="1"/>
  <c r="K109" i="20"/>
  <c r="E43" i="13"/>
  <c r="G44" i="13"/>
  <c r="I108" i="20"/>
  <c r="K107" i="20"/>
  <c r="K108" i="20"/>
  <c r="F116" i="15"/>
  <c r="I120" i="20"/>
  <c r="C5" i="18"/>
  <c r="C6" i="18" s="1"/>
  <c r="C7" i="18" s="1"/>
  <c r="C8" i="18" s="1"/>
  <c r="C9" i="18" s="1"/>
  <c r="C10" i="18" s="1"/>
  <c r="E42" i="13" l="1"/>
  <c r="G43" i="13"/>
  <c r="J106" i="20"/>
  <c r="J107" i="20"/>
  <c r="I107" i="20"/>
  <c r="F115" i="15"/>
  <c r="C11" i="18"/>
  <c r="J105" i="20" l="1"/>
  <c r="I106" i="20"/>
  <c r="K106" i="20"/>
  <c r="E41" i="13"/>
  <c r="G42" i="13"/>
  <c r="F114" i="15"/>
  <c r="C12" i="18"/>
  <c r="D45" i="12"/>
  <c r="I23" i="17"/>
  <c r="H23" i="17"/>
  <c r="G23" i="17"/>
  <c r="H22" i="17"/>
  <c r="G22" i="17"/>
  <c r="D22" i="17"/>
  <c r="I22" i="17" s="1"/>
  <c r="H21" i="17"/>
  <c r="G21" i="17"/>
  <c r="D21" i="17"/>
  <c r="I21" i="17" s="1"/>
  <c r="H20" i="17"/>
  <c r="G20" i="17"/>
  <c r="D20" i="17"/>
  <c r="I20" i="17" s="1"/>
  <c r="H19" i="17"/>
  <c r="G19" i="17"/>
  <c r="D19" i="17"/>
  <c r="I19" i="17" s="1"/>
  <c r="H18" i="17"/>
  <c r="G18" i="17"/>
  <c r="D18" i="17"/>
  <c r="I18" i="17" s="1"/>
  <c r="H17" i="17"/>
  <c r="G17" i="17"/>
  <c r="D17" i="17"/>
  <c r="I17" i="17" s="1"/>
  <c r="H16" i="17"/>
  <c r="G16" i="17"/>
  <c r="D16" i="17"/>
  <c r="I16" i="17" s="1"/>
  <c r="H15" i="17"/>
  <c r="G15" i="17"/>
  <c r="D15" i="17"/>
  <c r="I15" i="17" s="1"/>
  <c r="H14" i="17"/>
  <c r="G14" i="17"/>
  <c r="D14" i="17"/>
  <c r="I14" i="17" s="1"/>
  <c r="H13" i="17"/>
  <c r="G13" i="17"/>
  <c r="D13" i="17"/>
  <c r="I13" i="17" s="1"/>
  <c r="H12" i="17"/>
  <c r="G12" i="17"/>
  <c r="D12" i="17"/>
  <c r="I12" i="17" s="1"/>
  <c r="H11" i="17"/>
  <c r="G11" i="17"/>
  <c r="D11" i="17"/>
  <c r="I11" i="17" s="1"/>
  <c r="H10" i="17"/>
  <c r="G10" i="17"/>
  <c r="D10" i="17"/>
  <c r="I10" i="17" s="1"/>
  <c r="H9" i="17"/>
  <c r="G9" i="17"/>
  <c r="D9" i="17"/>
  <c r="I9" i="17" s="1"/>
  <c r="H8" i="17"/>
  <c r="G8" i="17"/>
  <c r="D8" i="17"/>
  <c r="I8" i="17" s="1"/>
  <c r="H7" i="17"/>
  <c r="G7" i="17"/>
  <c r="D7" i="17"/>
  <c r="I7" i="17" s="1"/>
  <c r="H6" i="17"/>
  <c r="G6" i="17"/>
  <c r="D6" i="17"/>
  <c r="I6" i="17" s="1"/>
  <c r="H5" i="17"/>
  <c r="G5" i="17"/>
  <c r="D5" i="17"/>
  <c r="I5" i="17" s="1"/>
  <c r="H4" i="17"/>
  <c r="G4" i="17"/>
  <c r="D4" i="17"/>
  <c r="I4" i="17" s="1"/>
  <c r="H3" i="17"/>
  <c r="G3" i="17"/>
  <c r="D3" i="17"/>
  <c r="I3" i="17" s="1"/>
  <c r="K104" i="20" l="1"/>
  <c r="K105" i="20"/>
  <c r="I105" i="20"/>
  <c r="E40" i="13"/>
  <c r="G41" i="13"/>
  <c r="J104" i="20"/>
  <c r="C13" i="18"/>
  <c r="L16" i="18"/>
  <c r="I104" i="20" l="1"/>
  <c r="I103" i="20"/>
  <c r="E39" i="13"/>
  <c r="G40" i="13"/>
  <c r="C14" i="18"/>
  <c r="K103" i="20" l="1"/>
  <c r="J103" i="20"/>
  <c r="I102" i="20"/>
  <c r="E38" i="13"/>
  <c r="G39" i="13"/>
  <c r="F113" i="15"/>
  <c r="J102" i="20" l="1"/>
  <c r="K102" i="20"/>
  <c r="E37" i="13"/>
  <c r="G38" i="13"/>
  <c r="J101" i="20"/>
  <c r="F112" i="15"/>
  <c r="I101" i="20" l="1"/>
  <c r="K101" i="20"/>
  <c r="E36" i="13"/>
  <c r="G37" i="13"/>
  <c r="I100" i="20"/>
  <c r="J100" i="20"/>
  <c r="K100" i="20"/>
  <c r="F111" i="15"/>
  <c r="C17" i="18"/>
  <c r="E35" i="13" l="1"/>
  <c r="G36" i="13"/>
  <c r="I99" i="20"/>
  <c r="J99" i="20"/>
  <c r="K99" i="20"/>
  <c r="F110" i="15"/>
  <c r="C18" i="18"/>
  <c r="E34" i="13" l="1"/>
  <c r="G35" i="13"/>
  <c r="J98" i="20"/>
  <c r="I98" i="20"/>
  <c r="K98" i="20"/>
  <c r="F109" i="15"/>
  <c r="C19" i="18"/>
  <c r="B70" i="16"/>
  <c r="L17" i="18" s="1"/>
  <c r="B27" i="14"/>
  <c r="E21" i="14"/>
  <c r="E20" i="14" s="1"/>
  <c r="L31" i="18" l="1"/>
  <c r="E33" i="13"/>
  <c r="G34" i="13"/>
  <c r="I97" i="20"/>
  <c r="K97" i="20"/>
  <c r="J97" i="20"/>
  <c r="F108" i="15"/>
  <c r="C20" i="18"/>
  <c r="E19" i="14"/>
  <c r="G20" i="14"/>
  <c r="G21" i="14"/>
  <c r="G15" i="18" l="1"/>
  <c r="F16" i="18"/>
  <c r="G16" i="18" s="1"/>
  <c r="L33" i="18"/>
  <c r="E32" i="13"/>
  <c r="G33" i="13"/>
  <c r="K96" i="20"/>
  <c r="I96" i="20"/>
  <c r="J96" i="20"/>
  <c r="F107" i="15"/>
  <c r="C21" i="18"/>
  <c r="E18" i="14"/>
  <c r="G19" i="14"/>
  <c r="D45" i="11"/>
  <c r="I23" i="12"/>
  <c r="H23" i="12"/>
  <c r="G23" i="12"/>
  <c r="H22" i="12"/>
  <c r="G22" i="12"/>
  <c r="D22" i="12"/>
  <c r="I22" i="12" s="1"/>
  <c r="H21" i="12"/>
  <c r="G21" i="12"/>
  <c r="D21" i="12"/>
  <c r="I21" i="12" s="1"/>
  <c r="H20" i="12"/>
  <c r="G20" i="12"/>
  <c r="D20" i="12"/>
  <c r="I20" i="12" s="1"/>
  <c r="H19" i="12"/>
  <c r="G19" i="12"/>
  <c r="D19" i="12"/>
  <c r="I19" i="12" s="1"/>
  <c r="H18" i="12"/>
  <c r="G18" i="12"/>
  <c r="D18" i="12"/>
  <c r="I18" i="12" s="1"/>
  <c r="H17" i="12"/>
  <c r="G17" i="12"/>
  <c r="D17" i="12"/>
  <c r="I17" i="12" s="1"/>
  <c r="H16" i="12"/>
  <c r="G16" i="12"/>
  <c r="D16" i="12"/>
  <c r="I16" i="12" s="1"/>
  <c r="H15" i="12"/>
  <c r="G15" i="12"/>
  <c r="D15" i="12"/>
  <c r="I15" i="12" s="1"/>
  <c r="H14" i="12"/>
  <c r="G14" i="12"/>
  <c r="D14" i="12"/>
  <c r="I14" i="12" s="1"/>
  <c r="H13" i="12"/>
  <c r="G13" i="12"/>
  <c r="D13" i="12"/>
  <c r="I13" i="12" s="1"/>
  <c r="H12" i="12"/>
  <c r="G12" i="12"/>
  <c r="D12" i="12"/>
  <c r="I12" i="12" s="1"/>
  <c r="H11" i="12"/>
  <c r="G11" i="12"/>
  <c r="D11" i="12"/>
  <c r="I11" i="12" s="1"/>
  <c r="H10" i="12"/>
  <c r="G10" i="12"/>
  <c r="D10" i="12"/>
  <c r="I10" i="12" s="1"/>
  <c r="H9" i="12"/>
  <c r="G9" i="12"/>
  <c r="D9" i="12"/>
  <c r="I9" i="12" s="1"/>
  <c r="H8" i="12"/>
  <c r="G8" i="12"/>
  <c r="D8" i="12"/>
  <c r="I8" i="12" s="1"/>
  <c r="H7" i="12"/>
  <c r="G7" i="12"/>
  <c r="D7" i="12"/>
  <c r="I7" i="12" s="1"/>
  <c r="H6" i="12"/>
  <c r="G6" i="12"/>
  <c r="D6" i="12"/>
  <c r="I6" i="12" s="1"/>
  <c r="H5" i="12"/>
  <c r="G5" i="12"/>
  <c r="D5" i="12"/>
  <c r="I5" i="12" s="1"/>
  <c r="H4" i="12"/>
  <c r="G4" i="12"/>
  <c r="D4" i="12"/>
  <c r="I4" i="12" s="1"/>
  <c r="H3" i="12"/>
  <c r="G3" i="12"/>
  <c r="D3" i="12"/>
  <c r="I3" i="12" s="1"/>
  <c r="E31" i="13" l="1"/>
  <c r="G32" i="13"/>
  <c r="I95" i="20"/>
  <c r="K95" i="20"/>
  <c r="J95" i="20"/>
  <c r="F106" i="15"/>
  <c r="G2" i="18"/>
  <c r="G3" i="18"/>
  <c r="C22" i="18"/>
  <c r="G18" i="14"/>
  <c r="E17" i="14"/>
  <c r="D14" i="9"/>
  <c r="D15" i="9"/>
  <c r="D4" i="11"/>
  <c r="D3" i="11"/>
  <c r="I3" i="11" s="1"/>
  <c r="I23" i="11"/>
  <c r="H23" i="11"/>
  <c r="G23" i="11"/>
  <c r="H22" i="11"/>
  <c r="G22" i="11"/>
  <c r="D22" i="11"/>
  <c r="I22" i="11" s="1"/>
  <c r="H21" i="11"/>
  <c r="G21" i="11"/>
  <c r="D21" i="11"/>
  <c r="I21" i="11" s="1"/>
  <c r="H20" i="11"/>
  <c r="G20" i="11"/>
  <c r="D20" i="11"/>
  <c r="I20" i="11" s="1"/>
  <c r="H19" i="11"/>
  <c r="G19" i="11"/>
  <c r="D19" i="11"/>
  <c r="I19" i="11" s="1"/>
  <c r="H18" i="11"/>
  <c r="G18" i="11"/>
  <c r="D18" i="11"/>
  <c r="I18" i="11" s="1"/>
  <c r="H17" i="11"/>
  <c r="G17" i="11"/>
  <c r="D17" i="11"/>
  <c r="I17" i="11" s="1"/>
  <c r="H16" i="11"/>
  <c r="G16" i="11"/>
  <c r="D16" i="11"/>
  <c r="I16" i="11" s="1"/>
  <c r="H15" i="11"/>
  <c r="G15" i="11"/>
  <c r="D15" i="11"/>
  <c r="I15" i="11" s="1"/>
  <c r="H14" i="11"/>
  <c r="G14" i="11"/>
  <c r="D14" i="11"/>
  <c r="I14" i="11" s="1"/>
  <c r="H13" i="11"/>
  <c r="G13" i="11"/>
  <c r="D13" i="11"/>
  <c r="I13" i="11" s="1"/>
  <c r="H12" i="11"/>
  <c r="G12" i="11"/>
  <c r="D12" i="11"/>
  <c r="I12" i="11" s="1"/>
  <c r="H11" i="11"/>
  <c r="G11" i="11"/>
  <c r="D11" i="11"/>
  <c r="I11" i="11" s="1"/>
  <c r="H10" i="11"/>
  <c r="G10" i="11"/>
  <c r="D10" i="11"/>
  <c r="I10" i="11" s="1"/>
  <c r="H9" i="11"/>
  <c r="G9" i="11"/>
  <c r="D9" i="11"/>
  <c r="I9" i="11" s="1"/>
  <c r="H8" i="11"/>
  <c r="G8" i="11"/>
  <c r="D8" i="11"/>
  <c r="I8" i="11" s="1"/>
  <c r="H7" i="11"/>
  <c r="G7" i="11"/>
  <c r="D7" i="11"/>
  <c r="I7" i="11" s="1"/>
  <c r="H6" i="11"/>
  <c r="G6" i="11"/>
  <c r="D6" i="11"/>
  <c r="I6" i="11" s="1"/>
  <c r="H5" i="11"/>
  <c r="G5" i="11"/>
  <c r="D5" i="11"/>
  <c r="I5" i="11" s="1"/>
  <c r="H4" i="11"/>
  <c r="G4" i="11"/>
  <c r="I4" i="11"/>
  <c r="H3" i="11"/>
  <c r="G3" i="11"/>
  <c r="E30" i="13" l="1"/>
  <c r="G31" i="13"/>
  <c r="K94" i="20"/>
  <c r="J94" i="20"/>
  <c r="I94" i="20"/>
  <c r="F105" i="15"/>
  <c r="E4" i="18"/>
  <c r="C23" i="18"/>
  <c r="E16" i="14"/>
  <c r="G17" i="14"/>
  <c r="D65" i="9"/>
  <c r="E29" i="13" l="1"/>
  <c r="G30" i="13"/>
  <c r="K93" i="20"/>
  <c r="I93" i="20"/>
  <c r="J93" i="20"/>
  <c r="E5" i="18"/>
  <c r="G4" i="18"/>
  <c r="F104" i="15"/>
  <c r="C24" i="18"/>
  <c r="E15" i="14"/>
  <c r="G16" i="14"/>
  <c r="R14" i="10"/>
  <c r="U14" i="10" s="1"/>
  <c r="R15" i="10"/>
  <c r="U15" i="10" s="1"/>
  <c r="R16" i="10"/>
  <c r="U16" i="10" s="1"/>
  <c r="R17" i="10"/>
  <c r="U17" i="10" s="1"/>
  <c r="R18" i="10"/>
  <c r="U18" i="10" s="1"/>
  <c r="R19" i="10"/>
  <c r="U19" i="10" s="1"/>
  <c r="R13" i="10"/>
  <c r="U13" i="10" s="1"/>
  <c r="E28" i="13" l="1"/>
  <c r="G29" i="13"/>
  <c r="E6" i="18"/>
  <c r="G5" i="18"/>
  <c r="K92" i="20"/>
  <c r="I92" i="20"/>
  <c r="J92" i="20"/>
  <c r="S16" i="10"/>
  <c r="S13" i="10"/>
  <c r="S17" i="10"/>
  <c r="S19" i="10"/>
  <c r="S15" i="10"/>
  <c r="S18" i="10"/>
  <c r="F103" i="15"/>
  <c r="C25" i="18"/>
  <c r="E14" i="14"/>
  <c r="G15" i="14"/>
  <c r="C2" i="10"/>
  <c r="C3" i="10" s="1"/>
  <c r="C4" i="10" s="1"/>
  <c r="C5" i="10" s="1"/>
  <c r="C6" i="10" s="1"/>
  <c r="C7" i="10" s="1"/>
  <c r="I23" i="9"/>
  <c r="H23" i="9"/>
  <c r="G23" i="9"/>
  <c r="H22" i="9"/>
  <c r="G22" i="9"/>
  <c r="D22" i="9"/>
  <c r="I22" i="9" s="1"/>
  <c r="H21" i="9"/>
  <c r="G21" i="9"/>
  <c r="D21" i="9"/>
  <c r="I21" i="9" s="1"/>
  <c r="H20" i="9"/>
  <c r="G20" i="9"/>
  <c r="D20" i="9"/>
  <c r="I20" i="9" s="1"/>
  <c r="H19" i="9"/>
  <c r="G19" i="9"/>
  <c r="D19" i="9"/>
  <c r="I19" i="9" s="1"/>
  <c r="H18" i="9"/>
  <c r="G18" i="9"/>
  <c r="D18" i="9"/>
  <c r="I18" i="9" s="1"/>
  <c r="H17" i="9"/>
  <c r="G17" i="9"/>
  <c r="D17" i="9"/>
  <c r="I17" i="9" s="1"/>
  <c r="H16" i="9"/>
  <c r="G16" i="9"/>
  <c r="D16" i="9"/>
  <c r="I16" i="9" s="1"/>
  <c r="H15" i="9"/>
  <c r="G15" i="9"/>
  <c r="I15" i="9"/>
  <c r="H14" i="9"/>
  <c r="G14" i="9"/>
  <c r="I14" i="9"/>
  <c r="H13" i="9"/>
  <c r="G13" i="9"/>
  <c r="D13" i="9"/>
  <c r="I13" i="9" s="1"/>
  <c r="H12" i="9"/>
  <c r="G12" i="9"/>
  <c r="D12" i="9"/>
  <c r="I12" i="9" s="1"/>
  <c r="H11" i="9"/>
  <c r="G11" i="9"/>
  <c r="D11" i="9"/>
  <c r="I11" i="9" s="1"/>
  <c r="H10" i="9"/>
  <c r="G10" i="9"/>
  <c r="D10" i="9"/>
  <c r="I10" i="9" s="1"/>
  <c r="H9" i="9"/>
  <c r="G9" i="9"/>
  <c r="D9" i="9"/>
  <c r="I9" i="9" s="1"/>
  <c r="H8" i="9"/>
  <c r="G8" i="9"/>
  <c r="D8" i="9"/>
  <c r="I8" i="9" s="1"/>
  <c r="H7" i="9"/>
  <c r="G7" i="9"/>
  <c r="D7" i="9"/>
  <c r="I7" i="9" s="1"/>
  <c r="H6" i="9"/>
  <c r="G6" i="9"/>
  <c r="D6" i="9"/>
  <c r="I6" i="9" s="1"/>
  <c r="H5" i="9"/>
  <c r="G5" i="9"/>
  <c r="D5" i="9"/>
  <c r="I5" i="9" s="1"/>
  <c r="H4" i="9"/>
  <c r="G4" i="9"/>
  <c r="D4" i="9"/>
  <c r="I4" i="9" s="1"/>
  <c r="H3" i="9"/>
  <c r="G3" i="9"/>
  <c r="D3" i="9"/>
  <c r="I3" i="9" s="1"/>
  <c r="E7" i="18" l="1"/>
  <c r="G6" i="18"/>
  <c r="E27" i="13"/>
  <c r="G28" i="13"/>
  <c r="I91" i="20"/>
  <c r="J91" i="20"/>
  <c r="K91" i="20"/>
  <c r="C8" i="10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F7" i="10"/>
  <c r="F2" i="10"/>
  <c r="F102" i="15"/>
  <c r="C26" i="18"/>
  <c r="G14" i="14"/>
  <c r="E13" i="14"/>
  <c r="F3" i="10"/>
  <c r="F4" i="10"/>
  <c r="F6" i="10"/>
  <c r="F5" i="10"/>
  <c r="D50" i="8"/>
  <c r="E8" i="18" l="1"/>
  <c r="G7" i="18"/>
  <c r="F10" i="10"/>
  <c r="F20" i="10" s="1"/>
  <c r="F22" i="10" s="1"/>
  <c r="F9" i="10"/>
  <c r="F8" i="10"/>
  <c r="E26" i="13"/>
  <c r="G27" i="13"/>
  <c r="K90" i="20"/>
  <c r="J90" i="20"/>
  <c r="I90" i="20"/>
  <c r="F101" i="15"/>
  <c r="C27" i="18"/>
  <c r="E12" i="14"/>
  <c r="G13" i="14"/>
  <c r="I23" i="8"/>
  <c r="H23" i="8"/>
  <c r="G23" i="8"/>
  <c r="H22" i="8"/>
  <c r="G22" i="8"/>
  <c r="D22" i="8"/>
  <c r="I22" i="8" s="1"/>
  <c r="H21" i="8"/>
  <c r="G21" i="8"/>
  <c r="D21" i="8"/>
  <c r="I21" i="8" s="1"/>
  <c r="H20" i="8"/>
  <c r="G20" i="8"/>
  <c r="D20" i="8"/>
  <c r="I20" i="8" s="1"/>
  <c r="H19" i="8"/>
  <c r="G19" i="8"/>
  <c r="D19" i="8"/>
  <c r="I19" i="8" s="1"/>
  <c r="H18" i="8"/>
  <c r="G18" i="8"/>
  <c r="D18" i="8"/>
  <c r="I18" i="8" s="1"/>
  <c r="H17" i="8"/>
  <c r="G17" i="8"/>
  <c r="D17" i="8"/>
  <c r="I17" i="8" s="1"/>
  <c r="H16" i="8"/>
  <c r="G16" i="8"/>
  <c r="D16" i="8"/>
  <c r="I16" i="8" s="1"/>
  <c r="H15" i="8"/>
  <c r="G15" i="8"/>
  <c r="D15" i="8"/>
  <c r="I15" i="8" s="1"/>
  <c r="H14" i="8"/>
  <c r="G14" i="8"/>
  <c r="D14" i="8"/>
  <c r="I14" i="8" s="1"/>
  <c r="H13" i="8"/>
  <c r="G13" i="8"/>
  <c r="D13" i="8"/>
  <c r="I13" i="8" s="1"/>
  <c r="H12" i="8"/>
  <c r="G12" i="8"/>
  <c r="D12" i="8"/>
  <c r="I12" i="8" s="1"/>
  <c r="H11" i="8"/>
  <c r="G11" i="8"/>
  <c r="D11" i="8"/>
  <c r="I11" i="8" s="1"/>
  <c r="H10" i="8"/>
  <c r="G10" i="8"/>
  <c r="D10" i="8"/>
  <c r="I10" i="8" s="1"/>
  <c r="H9" i="8"/>
  <c r="G9" i="8"/>
  <c r="D9" i="8"/>
  <c r="I9" i="8" s="1"/>
  <c r="H8" i="8"/>
  <c r="G8" i="8"/>
  <c r="D8" i="8"/>
  <c r="I8" i="8" s="1"/>
  <c r="H7" i="8"/>
  <c r="G7" i="8"/>
  <c r="D7" i="8"/>
  <c r="I7" i="8" s="1"/>
  <c r="H6" i="8"/>
  <c r="G6" i="8"/>
  <c r="D6" i="8"/>
  <c r="I6" i="8" s="1"/>
  <c r="H5" i="8"/>
  <c r="G5" i="8"/>
  <c r="D5" i="8"/>
  <c r="I5" i="8" s="1"/>
  <c r="H4" i="8"/>
  <c r="G4" i="8"/>
  <c r="D4" i="8"/>
  <c r="I4" i="8" s="1"/>
  <c r="H3" i="8"/>
  <c r="G3" i="8"/>
  <c r="D3" i="8"/>
  <c r="I3" i="8" s="1"/>
  <c r="E9" i="18" l="1"/>
  <c r="G8" i="18"/>
  <c r="E25" i="13"/>
  <c r="G26" i="13"/>
  <c r="I89" i="20"/>
  <c r="J89" i="20"/>
  <c r="K89" i="20"/>
  <c r="F100" i="15"/>
  <c r="C28" i="18"/>
  <c r="E11" i="14"/>
  <c r="G12" i="14"/>
  <c r="D3" i="7"/>
  <c r="I3" i="7" s="1"/>
  <c r="D4" i="7"/>
  <c r="I4" i="7" s="1"/>
  <c r="D5" i="7"/>
  <c r="I5" i="7" s="1"/>
  <c r="D6" i="7"/>
  <c r="I6" i="7" s="1"/>
  <c r="D7" i="7"/>
  <c r="I7" i="7" s="1"/>
  <c r="D8" i="7"/>
  <c r="I8" i="7" s="1"/>
  <c r="D9" i="7"/>
  <c r="I9" i="7" s="1"/>
  <c r="D10" i="7"/>
  <c r="I10" i="7" s="1"/>
  <c r="D11" i="7"/>
  <c r="I11" i="7" s="1"/>
  <c r="D12" i="7"/>
  <c r="I12" i="7" s="1"/>
  <c r="D13" i="7"/>
  <c r="I13" i="7" s="1"/>
  <c r="D14" i="7"/>
  <c r="I14" i="7" s="1"/>
  <c r="D15" i="7"/>
  <c r="D16" i="7"/>
  <c r="D17" i="7"/>
  <c r="I17" i="7" s="1"/>
  <c r="D18" i="7"/>
  <c r="I18" i="7" s="1"/>
  <c r="D19" i="7"/>
  <c r="I19" i="7" s="1"/>
  <c r="D20" i="7"/>
  <c r="I20" i="7" s="1"/>
  <c r="D21" i="7"/>
  <c r="I21" i="7" s="1"/>
  <c r="D22" i="7"/>
  <c r="I22" i="7" s="1"/>
  <c r="D39" i="7"/>
  <c r="I23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I16" i="7"/>
  <c r="H15" i="7"/>
  <c r="G15" i="7"/>
  <c r="I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E10" i="18" l="1"/>
  <c r="G9" i="18"/>
  <c r="E24" i="13"/>
  <c r="G25" i="13"/>
  <c r="J88" i="20"/>
  <c r="K88" i="20"/>
  <c r="I88" i="20"/>
  <c r="F99" i="15"/>
  <c r="C29" i="18"/>
  <c r="E10" i="14"/>
  <c r="G11" i="14"/>
  <c r="I23" i="6"/>
  <c r="H17" i="6"/>
  <c r="H18" i="6"/>
  <c r="H19" i="6"/>
  <c r="H20" i="6"/>
  <c r="H21" i="6"/>
  <c r="H22" i="6"/>
  <c r="H23" i="6"/>
  <c r="G17" i="6"/>
  <c r="G18" i="6"/>
  <c r="G19" i="6"/>
  <c r="G20" i="6"/>
  <c r="G21" i="6"/>
  <c r="G22" i="6"/>
  <c r="G23" i="6"/>
  <c r="D39" i="6"/>
  <c r="D17" i="6"/>
  <c r="I17" i="6" s="1"/>
  <c r="D18" i="6"/>
  <c r="I18" i="6" s="1"/>
  <c r="D19" i="6"/>
  <c r="I19" i="6" s="1"/>
  <c r="D20" i="6"/>
  <c r="I20" i="6" s="1"/>
  <c r="D21" i="6"/>
  <c r="I21" i="6" s="1"/>
  <c r="D22" i="6"/>
  <c r="I22" i="6" s="1"/>
  <c r="E11" i="18" l="1"/>
  <c r="G10" i="18"/>
  <c r="E23" i="13"/>
  <c r="G24" i="13"/>
  <c r="K87" i="20"/>
  <c r="I87" i="20"/>
  <c r="J87" i="20"/>
  <c r="F98" i="15"/>
  <c r="C30" i="18"/>
  <c r="G10" i="14"/>
  <c r="E9" i="14"/>
  <c r="G13" i="6"/>
  <c r="H16" i="6"/>
  <c r="G16" i="6"/>
  <c r="E12" i="18" l="1"/>
  <c r="G11" i="18"/>
  <c r="G23" i="13"/>
  <c r="E22" i="13"/>
  <c r="J86" i="20"/>
  <c r="I86" i="20"/>
  <c r="K86" i="20"/>
  <c r="F97" i="15"/>
  <c r="C31" i="18"/>
  <c r="E8" i="14"/>
  <c r="G9" i="14"/>
  <c r="D3" i="6"/>
  <c r="I3" i="6" s="1"/>
  <c r="D4" i="6"/>
  <c r="I4" i="6" s="1"/>
  <c r="D5" i="6"/>
  <c r="D6" i="6"/>
  <c r="I6" i="6" s="1"/>
  <c r="D7" i="6"/>
  <c r="I7" i="6" s="1"/>
  <c r="D8" i="6"/>
  <c r="I8" i="6" s="1"/>
  <c r="D9" i="6"/>
  <c r="I9" i="6" s="1"/>
  <c r="D10" i="6"/>
  <c r="I10" i="6" s="1"/>
  <c r="D11" i="6"/>
  <c r="I11" i="6" s="1"/>
  <c r="D12" i="6"/>
  <c r="I12" i="6" s="1"/>
  <c r="D13" i="6"/>
  <c r="I13" i="6" s="1"/>
  <c r="D14" i="6"/>
  <c r="I14" i="6" s="1"/>
  <c r="D15" i="6"/>
  <c r="I15" i="6" s="1"/>
  <c r="D16" i="6"/>
  <c r="I16" i="6" s="1"/>
  <c r="H15" i="6"/>
  <c r="G15" i="6"/>
  <c r="H14" i="6"/>
  <c r="G14" i="6"/>
  <c r="H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E13" i="18" l="1"/>
  <c r="G12" i="18"/>
  <c r="E21" i="13"/>
  <c r="G22" i="13"/>
  <c r="J85" i="20"/>
  <c r="K85" i="20"/>
  <c r="I85" i="20"/>
  <c r="F96" i="15"/>
  <c r="C32" i="18"/>
  <c r="E7" i="14"/>
  <c r="G8" i="14"/>
  <c r="I5" i="6"/>
  <c r="E14" i="18" l="1"/>
  <c r="G13" i="18"/>
  <c r="G21" i="13"/>
  <c r="E20" i="13"/>
  <c r="K84" i="20"/>
  <c r="I84" i="20"/>
  <c r="J84" i="20"/>
  <c r="F95" i="15"/>
  <c r="C33" i="18"/>
  <c r="E6" i="14"/>
  <c r="G7" i="14"/>
  <c r="H4" i="3"/>
  <c r="H5" i="3"/>
  <c r="H6" i="3"/>
  <c r="H7" i="3"/>
  <c r="H8" i="3"/>
  <c r="H9" i="3"/>
  <c r="H10" i="3"/>
  <c r="H11" i="3"/>
  <c r="H12" i="3"/>
  <c r="H13" i="3"/>
  <c r="H14" i="3"/>
  <c r="H15" i="3"/>
  <c r="G4" i="3"/>
  <c r="G5" i="3"/>
  <c r="G6" i="3"/>
  <c r="G7" i="3"/>
  <c r="G8" i="3"/>
  <c r="G9" i="3"/>
  <c r="G10" i="3"/>
  <c r="G11" i="3"/>
  <c r="G12" i="3"/>
  <c r="G13" i="3"/>
  <c r="G14" i="3"/>
  <c r="G15" i="3"/>
  <c r="D4" i="3"/>
  <c r="I4" i="3" s="1"/>
  <c r="D5" i="3"/>
  <c r="D6" i="3"/>
  <c r="I6" i="3" s="1"/>
  <c r="D7" i="3"/>
  <c r="I7" i="3" s="1"/>
  <c r="D8" i="3"/>
  <c r="I8" i="3" s="1"/>
  <c r="D9" i="3"/>
  <c r="I9" i="3" s="1"/>
  <c r="D10" i="3"/>
  <c r="I10" i="3" s="1"/>
  <c r="D11" i="3"/>
  <c r="I11" i="3" s="1"/>
  <c r="D12" i="3"/>
  <c r="I12" i="3" s="1"/>
  <c r="D13" i="3"/>
  <c r="I13" i="3" s="1"/>
  <c r="D14" i="3"/>
  <c r="I14" i="3" s="1"/>
  <c r="D15" i="3"/>
  <c r="I15" i="3" s="1"/>
  <c r="D16" i="3"/>
  <c r="D17" i="3"/>
  <c r="D18" i="3"/>
  <c r="D19" i="3"/>
  <c r="E17" i="18" l="1"/>
  <c r="E18" i="18" s="1"/>
  <c r="E19" i="18" s="1"/>
  <c r="E20" i="18" s="1"/>
  <c r="E21" i="18" s="1"/>
  <c r="E22" i="18" s="1"/>
  <c r="E23" i="18" s="1"/>
  <c r="E24" i="18" s="1"/>
  <c r="E25" i="18" s="1"/>
  <c r="E26" i="18" s="1"/>
  <c r="E27" i="18" s="1"/>
  <c r="E28" i="18" s="1"/>
  <c r="E29" i="18" s="1"/>
  <c r="E30" i="18" s="1"/>
  <c r="E31" i="18" s="1"/>
  <c r="E32" i="18" s="1"/>
  <c r="E33" i="18" s="1"/>
  <c r="G14" i="18"/>
  <c r="G20" i="13"/>
  <c r="E19" i="13"/>
  <c r="K83" i="20"/>
  <c r="I83" i="20"/>
  <c r="J83" i="20"/>
  <c r="F94" i="15"/>
  <c r="C34" i="18"/>
  <c r="G6" i="14"/>
  <c r="E5" i="14"/>
  <c r="I5" i="3"/>
  <c r="D29" i="3"/>
  <c r="D33" i="3" s="1"/>
  <c r="G3" i="2"/>
  <c r="D11" i="2"/>
  <c r="I11" i="2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" i="5"/>
  <c r="D3" i="5"/>
  <c r="I3" i="5" s="1"/>
  <c r="D4" i="5"/>
  <c r="I4" i="5" s="1"/>
  <c r="D5" i="5"/>
  <c r="I5" i="5" s="1"/>
  <c r="D6" i="5"/>
  <c r="D7" i="5"/>
  <c r="I7" i="5" s="1"/>
  <c r="D8" i="5"/>
  <c r="I8" i="5" s="1"/>
  <c r="D9" i="5"/>
  <c r="I9" i="5" s="1"/>
  <c r="D10" i="5"/>
  <c r="I10" i="5" s="1"/>
  <c r="D11" i="5"/>
  <c r="I11" i="5" s="1"/>
  <c r="D12" i="5"/>
  <c r="I12" i="5" s="1"/>
  <c r="D13" i="5"/>
  <c r="I13" i="5" s="1"/>
  <c r="D14" i="5"/>
  <c r="I14" i="5" s="1"/>
  <c r="D15" i="5"/>
  <c r="I15" i="5" s="1"/>
  <c r="D16" i="5"/>
  <c r="I16" i="5" s="1"/>
  <c r="D17" i="5"/>
  <c r="I17" i="5" s="1"/>
  <c r="D18" i="5"/>
  <c r="I18" i="5" s="1"/>
  <c r="D19" i="5"/>
  <c r="I19" i="5" s="1"/>
  <c r="D20" i="5"/>
  <c r="D21" i="5"/>
  <c r="D2" i="5"/>
  <c r="I2" i="5" s="1"/>
  <c r="C24" i="5"/>
  <c r="C2" i="4" s="1"/>
  <c r="H2" i="4" s="1"/>
  <c r="B24" i="5"/>
  <c r="B2" i="4" s="1"/>
  <c r="I10" i="4"/>
  <c r="I11" i="4"/>
  <c r="H4" i="4"/>
  <c r="H5" i="4"/>
  <c r="H6" i="4"/>
  <c r="H7" i="4"/>
  <c r="H8" i="4"/>
  <c r="H9" i="4"/>
  <c r="H10" i="4"/>
  <c r="H11" i="4"/>
  <c r="G4" i="4"/>
  <c r="G5" i="4"/>
  <c r="G6" i="4"/>
  <c r="G7" i="4"/>
  <c r="G8" i="4"/>
  <c r="G9" i="4"/>
  <c r="G10" i="4"/>
  <c r="G11" i="4"/>
  <c r="D9" i="4"/>
  <c r="I9" i="4" s="1"/>
  <c r="D8" i="4"/>
  <c r="I8" i="4" s="1"/>
  <c r="D7" i="4"/>
  <c r="I7" i="4" s="1"/>
  <c r="D6" i="4"/>
  <c r="I6" i="4" s="1"/>
  <c r="D5" i="4"/>
  <c r="I5" i="4" s="1"/>
  <c r="D4" i="4"/>
  <c r="I4" i="4" s="1"/>
  <c r="H4" i="2"/>
  <c r="H5" i="2"/>
  <c r="H6" i="2"/>
  <c r="H7" i="2"/>
  <c r="H8" i="2"/>
  <c r="H9" i="2"/>
  <c r="H10" i="2"/>
  <c r="H11" i="2"/>
  <c r="G4" i="2"/>
  <c r="G5" i="2"/>
  <c r="G6" i="2"/>
  <c r="G7" i="2"/>
  <c r="G8" i="2"/>
  <c r="G9" i="2"/>
  <c r="G10" i="2"/>
  <c r="G11" i="2"/>
  <c r="D4" i="2"/>
  <c r="I4" i="2" s="1"/>
  <c r="D18" i="2"/>
  <c r="D17" i="2"/>
  <c r="D15" i="2"/>
  <c r="D14" i="2"/>
  <c r="D13" i="2"/>
  <c r="D12" i="2"/>
  <c r="D10" i="2"/>
  <c r="I10" i="2" s="1"/>
  <c r="D9" i="2"/>
  <c r="I9" i="2" s="1"/>
  <c r="D8" i="2"/>
  <c r="I8" i="2" s="1"/>
  <c r="D7" i="2"/>
  <c r="I7" i="2" s="1"/>
  <c r="D6" i="2"/>
  <c r="I6" i="2" s="1"/>
  <c r="D5" i="2"/>
  <c r="I5" i="2" s="1"/>
  <c r="E34" i="18" l="1"/>
  <c r="E18" i="13"/>
  <c r="G19" i="13"/>
  <c r="K82" i="20"/>
  <c r="J82" i="20"/>
  <c r="I82" i="20"/>
  <c r="F93" i="15"/>
  <c r="C35" i="18"/>
  <c r="E4" i="14"/>
  <c r="G5" i="14"/>
  <c r="H21" i="5"/>
  <c r="G21" i="5"/>
  <c r="G2" i="4"/>
  <c r="D2" i="4"/>
  <c r="B29" i="4" s="1"/>
  <c r="G3" i="3"/>
  <c r="D24" i="5"/>
  <c r="B21" i="4"/>
  <c r="B2" i="2" s="1"/>
  <c r="I6" i="5"/>
  <c r="I21" i="5" s="1"/>
  <c r="G3" i="4"/>
  <c r="H23" i="5" l="1"/>
  <c r="E17" i="13"/>
  <c r="G18" i="13"/>
  <c r="J81" i="20"/>
  <c r="K81" i="20"/>
  <c r="I81" i="20"/>
  <c r="F92" i="15"/>
  <c r="C36" i="18"/>
  <c r="E35" i="18"/>
  <c r="G4" i="14"/>
  <c r="E3" i="14"/>
  <c r="E2" i="14" s="1"/>
  <c r="I23" i="5"/>
  <c r="H3" i="4"/>
  <c r="H12" i="4" s="1"/>
  <c r="I3" i="4"/>
  <c r="C21" i="4"/>
  <c r="C2" i="2" s="1"/>
  <c r="H2" i="2" s="1"/>
  <c r="I2" i="4"/>
  <c r="G2" i="2"/>
  <c r="G12" i="2" s="1"/>
  <c r="B21" i="2"/>
  <c r="B2" i="3" s="1"/>
  <c r="G12" i="4"/>
  <c r="G25" i="4" s="1"/>
  <c r="G70" i="16" l="1"/>
  <c r="G73" i="16" s="1"/>
  <c r="G17" i="13"/>
  <c r="E16" i="13"/>
  <c r="J80" i="20"/>
  <c r="K80" i="20"/>
  <c r="I80" i="20"/>
  <c r="E36" i="18"/>
  <c r="F91" i="15"/>
  <c r="D2" i="2"/>
  <c r="D21" i="4"/>
  <c r="C37" i="18"/>
  <c r="G2" i="14"/>
  <c r="G3" i="14"/>
  <c r="I12" i="4"/>
  <c r="I17" i="4" s="1"/>
  <c r="G2" i="3"/>
  <c r="G19" i="3" s="1"/>
  <c r="G29" i="3" s="1"/>
  <c r="B21" i="3"/>
  <c r="B2" i="6" s="1"/>
  <c r="B24" i="6" s="1"/>
  <c r="B2" i="7" s="1"/>
  <c r="B24" i="7" s="1"/>
  <c r="B2" i="8" s="1"/>
  <c r="H17" i="4"/>
  <c r="I2" i="2"/>
  <c r="E37" i="18" l="1"/>
  <c r="G16" i="13"/>
  <c r="E15" i="13"/>
  <c r="K79" i="20"/>
  <c r="I79" i="20"/>
  <c r="J79" i="20"/>
  <c r="F90" i="15"/>
  <c r="C38" i="18"/>
  <c r="G27" i="14"/>
  <c r="G30" i="14" s="1"/>
  <c r="B24" i="8"/>
  <c r="B2" i="9" s="1"/>
  <c r="G2" i="8"/>
  <c r="G25" i="8" s="1"/>
  <c r="G2" i="7"/>
  <c r="G25" i="7" s="1"/>
  <c r="G2" i="6"/>
  <c r="G25" i="6" s="1"/>
  <c r="G36" i="6" s="1"/>
  <c r="H3" i="2"/>
  <c r="H12" i="2" s="1"/>
  <c r="H17" i="2" s="1"/>
  <c r="D3" i="2"/>
  <c r="C21" i="2"/>
  <c r="C2" i="3" s="1"/>
  <c r="E38" i="18" l="1"/>
  <c r="E14" i="13"/>
  <c r="G15" i="13"/>
  <c r="K78" i="20"/>
  <c r="J78" i="20"/>
  <c r="I78" i="20"/>
  <c r="F89" i="15"/>
  <c r="C39" i="18"/>
  <c r="B24" i="9"/>
  <c r="B2" i="11" s="1"/>
  <c r="G2" i="9"/>
  <c r="G25" i="9" s="1"/>
  <c r="H2" i="3"/>
  <c r="C21" i="3"/>
  <c r="C2" i="6" s="1"/>
  <c r="C24" i="6" s="1"/>
  <c r="C2" i="7" s="1"/>
  <c r="D2" i="3"/>
  <c r="I3" i="2"/>
  <c r="I12" i="2" s="1"/>
  <c r="I17" i="2" s="1"/>
  <c r="D21" i="2"/>
  <c r="H3" i="3"/>
  <c r="D3" i="3"/>
  <c r="I3" i="3" s="1"/>
  <c r="E39" i="18" l="1"/>
  <c r="G14" i="13"/>
  <c r="E13" i="13"/>
  <c r="J77" i="20"/>
  <c r="K77" i="20"/>
  <c r="I77" i="20"/>
  <c r="F88" i="15"/>
  <c r="B24" i="11"/>
  <c r="B2" i="12" s="1"/>
  <c r="G2" i="11"/>
  <c r="G25" i="11" s="1"/>
  <c r="C40" i="18"/>
  <c r="C24" i="7"/>
  <c r="C2" i="8" s="1"/>
  <c r="H2" i="7"/>
  <c r="D2" i="7"/>
  <c r="I2" i="3"/>
  <c r="I19" i="3" s="1"/>
  <c r="I24" i="3" s="1"/>
  <c r="D21" i="3"/>
  <c r="H2" i="6"/>
  <c r="D2" i="6"/>
  <c r="D24" i="6" s="1"/>
  <c r="H19" i="3"/>
  <c r="H24" i="3" s="1"/>
  <c r="G13" i="13" l="1"/>
  <c r="E12" i="13"/>
  <c r="J76" i="20"/>
  <c r="K76" i="20"/>
  <c r="I76" i="20"/>
  <c r="F87" i="15"/>
  <c r="G2" i="12"/>
  <c r="G25" i="12" s="1"/>
  <c r="B24" i="12"/>
  <c r="B2" i="17" s="1"/>
  <c r="C41" i="18"/>
  <c r="E40" i="18"/>
  <c r="H25" i="7"/>
  <c r="H30" i="7" s="1"/>
  <c r="H2" i="8"/>
  <c r="H25" i="8" s="1"/>
  <c r="H30" i="8" s="1"/>
  <c r="C24" i="8"/>
  <c r="C2" i="9" s="1"/>
  <c r="D2" i="8"/>
  <c r="D24" i="7"/>
  <c r="I2" i="7"/>
  <c r="H25" i="6"/>
  <c r="H30" i="6" s="1"/>
  <c r="I2" i="6"/>
  <c r="G12" i="13" l="1"/>
  <c r="E11" i="13"/>
  <c r="K75" i="20"/>
  <c r="J75" i="20"/>
  <c r="I75" i="20"/>
  <c r="F86" i="15"/>
  <c r="G2" i="17"/>
  <c r="G38" i="17" s="1"/>
  <c r="B24" i="17"/>
  <c r="B2" i="19" s="1"/>
  <c r="E41" i="18"/>
  <c r="C42" i="18"/>
  <c r="C24" i="9"/>
  <c r="C2" i="11" s="1"/>
  <c r="H2" i="9"/>
  <c r="H25" i="9" s="1"/>
  <c r="H30" i="9" s="1"/>
  <c r="D2" i="9"/>
  <c r="I25" i="7"/>
  <c r="I30" i="7" s="1"/>
  <c r="D24" i="8"/>
  <c r="I2" i="8"/>
  <c r="I25" i="8" s="1"/>
  <c r="I30" i="8" s="1"/>
  <c r="I25" i="6"/>
  <c r="I30" i="6" s="1"/>
  <c r="G11" i="13" l="1"/>
  <c r="E10" i="13"/>
  <c r="K74" i="20"/>
  <c r="I74" i="20"/>
  <c r="J74" i="20"/>
  <c r="F85" i="15"/>
  <c r="C24" i="11"/>
  <c r="C2" i="12" s="1"/>
  <c r="H2" i="11"/>
  <c r="H25" i="11" s="1"/>
  <c r="H30" i="11" s="1"/>
  <c r="D2" i="11"/>
  <c r="G2" i="19"/>
  <c r="G25" i="19" s="1"/>
  <c r="B24" i="19"/>
  <c r="B2" i="21" s="1"/>
  <c r="E42" i="18"/>
  <c r="C43" i="18"/>
  <c r="I2" i="9"/>
  <c r="I25" i="9" s="1"/>
  <c r="I30" i="9" s="1"/>
  <c r="D24" i="9"/>
  <c r="B25" i="21" l="1"/>
  <c r="B2" i="22" s="1"/>
  <c r="G2" i="21"/>
  <c r="G26" i="21" s="1"/>
  <c r="G31" i="21" s="1"/>
  <c r="G10" i="13"/>
  <c r="E9" i="13"/>
  <c r="J73" i="20"/>
  <c r="K73" i="20"/>
  <c r="I73" i="20"/>
  <c r="F84" i="15"/>
  <c r="D24" i="11"/>
  <c r="I2" i="11"/>
  <c r="C24" i="12"/>
  <c r="C2" i="17" s="1"/>
  <c r="H2" i="12"/>
  <c r="H25" i="12" s="1"/>
  <c r="H30" i="12" s="1"/>
  <c r="D2" i="12"/>
  <c r="C44" i="18"/>
  <c r="E43" i="18"/>
  <c r="B24" i="22" l="1"/>
  <c r="B2" i="23" s="1"/>
  <c r="G2" i="22"/>
  <c r="G25" i="22" s="1"/>
  <c r="G30" i="22" s="1"/>
  <c r="G9" i="13"/>
  <c r="E8" i="13"/>
  <c r="J72" i="20"/>
  <c r="I72" i="20"/>
  <c r="K72" i="20"/>
  <c r="F83" i="15"/>
  <c r="C24" i="17"/>
  <c r="C2" i="19" s="1"/>
  <c r="H2" i="17"/>
  <c r="H25" i="17" s="1"/>
  <c r="H30" i="17" s="1"/>
  <c r="D2" i="17"/>
  <c r="I25" i="11"/>
  <c r="I30" i="11" s="1"/>
  <c r="I2" i="12"/>
  <c r="I25" i="12" s="1"/>
  <c r="I30" i="12" s="1"/>
  <c r="D24" i="12"/>
  <c r="E44" i="18"/>
  <c r="C45" i="18"/>
  <c r="B24" i="23" l="1"/>
  <c r="G2" i="23"/>
  <c r="G25" i="23" s="1"/>
  <c r="G8" i="13"/>
  <c r="E7" i="13"/>
  <c r="K71" i="20"/>
  <c r="J71" i="20"/>
  <c r="I71" i="20"/>
  <c r="F82" i="15"/>
  <c r="I2" i="17"/>
  <c r="I25" i="17" s="1"/>
  <c r="I30" i="17" s="1"/>
  <c r="D24" i="17"/>
  <c r="H2" i="19"/>
  <c r="H25" i="19" s="1"/>
  <c r="H30" i="19" s="1"/>
  <c r="C24" i="19"/>
  <c r="C2" i="21" s="1"/>
  <c r="D2" i="19"/>
  <c r="E45" i="18"/>
  <c r="C46" i="18"/>
  <c r="H2" i="21" l="1"/>
  <c r="H26" i="21" s="1"/>
  <c r="H31" i="21" s="1"/>
  <c r="C25" i="21"/>
  <c r="C2" i="22" s="1"/>
  <c r="D2" i="21"/>
  <c r="G7" i="13"/>
  <c r="E6" i="13"/>
  <c r="K70" i="20"/>
  <c r="I70" i="20"/>
  <c r="J70" i="20"/>
  <c r="F81" i="15"/>
  <c r="I2" i="19"/>
  <c r="D24" i="19"/>
  <c r="E46" i="18"/>
  <c r="C47" i="18"/>
  <c r="E47" i="18" l="1"/>
  <c r="I25" i="19"/>
  <c r="I30" i="19" s="1"/>
  <c r="I2" i="21"/>
  <c r="I26" i="21" s="1"/>
  <c r="I31" i="21" s="1"/>
  <c r="D25" i="21"/>
  <c r="C24" i="22"/>
  <c r="C2" i="23" s="1"/>
  <c r="H2" i="22"/>
  <c r="H25" i="22" s="1"/>
  <c r="H30" i="22" s="1"/>
  <c r="D2" i="22"/>
  <c r="G6" i="13"/>
  <c r="E5" i="13"/>
  <c r="J69" i="20"/>
  <c r="I69" i="20"/>
  <c r="K69" i="20"/>
  <c r="F80" i="15"/>
  <c r="C48" i="18"/>
  <c r="E48" i="18" l="1"/>
  <c r="I2" i="22"/>
  <c r="I25" i="22" s="1"/>
  <c r="I30" i="22" s="1"/>
  <c r="D24" i="22"/>
  <c r="C24" i="23"/>
  <c r="H2" i="23"/>
  <c r="H30" i="23" s="1"/>
  <c r="D2" i="23"/>
  <c r="G5" i="13"/>
  <c r="E4" i="13"/>
  <c r="J68" i="20"/>
  <c r="I68" i="20"/>
  <c r="K68" i="20"/>
  <c r="F79" i="15"/>
  <c r="C49" i="18"/>
  <c r="E49" i="18" l="1"/>
  <c r="D24" i="23"/>
  <c r="I2" i="23"/>
  <c r="I25" i="23" s="1"/>
  <c r="I30" i="23" s="1"/>
  <c r="G4" i="13"/>
  <c r="E3" i="13"/>
  <c r="K67" i="20"/>
  <c r="I67" i="20"/>
  <c r="J67" i="20"/>
  <c r="F78" i="15"/>
  <c r="C50" i="18"/>
  <c r="E50" i="18" l="1"/>
  <c r="G3" i="13"/>
  <c r="E2" i="13"/>
  <c r="G2" i="13" s="1"/>
  <c r="G127" i="13" s="1"/>
  <c r="K66" i="20"/>
  <c r="J66" i="20"/>
  <c r="I66" i="20"/>
  <c r="F77" i="15"/>
  <c r="C51" i="18"/>
  <c r="G130" i="13" l="1"/>
  <c r="J65" i="20"/>
  <c r="I65" i="20"/>
  <c r="K65" i="20"/>
  <c r="F76" i="15"/>
  <c r="C52" i="18"/>
  <c r="E51" i="18"/>
  <c r="E52" i="18" l="1"/>
  <c r="K64" i="20"/>
  <c r="I64" i="20"/>
  <c r="J64" i="20"/>
  <c r="F75" i="15"/>
  <c r="C53" i="18"/>
  <c r="J63" i="20" l="1"/>
  <c r="K63" i="20"/>
  <c r="I63" i="20"/>
  <c r="F74" i="15"/>
  <c r="C54" i="18"/>
  <c r="E53" i="18"/>
  <c r="E54" i="18" l="1"/>
  <c r="I62" i="20"/>
  <c r="K62" i="20"/>
  <c r="J62" i="20"/>
  <c r="F73" i="15"/>
  <c r="C55" i="18"/>
  <c r="I61" i="20" l="1"/>
  <c r="J61" i="20"/>
  <c r="K61" i="20"/>
  <c r="F72" i="15"/>
  <c r="C56" i="18"/>
  <c r="E55" i="18"/>
  <c r="E56" i="18" l="1"/>
  <c r="I60" i="20"/>
  <c r="J60" i="20"/>
  <c r="K60" i="20"/>
  <c r="F71" i="15"/>
  <c r="C57" i="18"/>
  <c r="E57" i="18" l="1"/>
  <c r="J59" i="20"/>
  <c r="K59" i="20"/>
  <c r="I59" i="20"/>
  <c r="F70" i="15"/>
  <c r="C58" i="18"/>
  <c r="E58" i="18" l="1"/>
  <c r="I58" i="20"/>
  <c r="K58" i="20"/>
  <c r="J58" i="20"/>
  <c r="F69" i="15"/>
  <c r="C59" i="18"/>
  <c r="K57" i="20" l="1"/>
  <c r="J57" i="20"/>
  <c r="I57" i="20"/>
  <c r="F68" i="15"/>
  <c r="C60" i="18"/>
  <c r="E59" i="18"/>
  <c r="E60" i="18" l="1"/>
  <c r="I56" i="20"/>
  <c r="J56" i="20"/>
  <c r="K56" i="20"/>
  <c r="F67" i="15"/>
  <c r="C61" i="18"/>
  <c r="J55" i="20" l="1"/>
  <c r="K55" i="20"/>
  <c r="I55" i="20"/>
  <c r="F66" i="15"/>
  <c r="C62" i="18"/>
  <c r="E61" i="18"/>
  <c r="E62" i="18" l="1"/>
  <c r="I54" i="20"/>
  <c r="K54" i="20"/>
  <c r="J54" i="20"/>
  <c r="F65" i="15"/>
  <c r="K53" i="20" l="1"/>
  <c r="I53" i="20"/>
  <c r="J53" i="20"/>
  <c r="F64" i="15"/>
  <c r="I52" i="20" l="1"/>
  <c r="J52" i="20"/>
  <c r="K52" i="20"/>
  <c r="F63" i="15"/>
  <c r="J51" i="20" l="1"/>
  <c r="K51" i="20"/>
  <c r="I51" i="20"/>
  <c r="F62" i="15"/>
  <c r="I50" i="20" l="1"/>
  <c r="J50" i="20"/>
  <c r="K50" i="20"/>
  <c r="F61" i="15"/>
  <c r="K49" i="20" l="1"/>
  <c r="J49" i="20"/>
  <c r="I49" i="20"/>
  <c r="F60" i="15"/>
  <c r="I48" i="20" l="1"/>
  <c r="K48" i="20"/>
  <c r="J48" i="20"/>
  <c r="F59" i="15"/>
  <c r="J47" i="20" l="1"/>
  <c r="I47" i="20"/>
  <c r="K47" i="20"/>
  <c r="F58" i="15"/>
  <c r="I46" i="20" l="1"/>
  <c r="K46" i="20"/>
  <c r="J46" i="20"/>
  <c r="F57" i="15"/>
  <c r="I45" i="20" l="1"/>
  <c r="J45" i="20"/>
  <c r="K45" i="20"/>
  <c r="F56" i="15"/>
  <c r="I44" i="20" l="1"/>
  <c r="J44" i="20"/>
  <c r="K44" i="20"/>
  <c r="F55" i="15"/>
  <c r="J43" i="20" l="1"/>
  <c r="K43" i="20"/>
  <c r="I43" i="20"/>
  <c r="F54" i="15"/>
  <c r="I42" i="20" l="1"/>
  <c r="K42" i="20"/>
  <c r="J42" i="20"/>
  <c r="F53" i="15"/>
  <c r="K41" i="20" l="1"/>
  <c r="J41" i="20"/>
  <c r="I41" i="20"/>
  <c r="F52" i="15"/>
  <c r="I40" i="20" l="1"/>
  <c r="J40" i="20"/>
  <c r="K40" i="20"/>
  <c r="F51" i="15"/>
  <c r="J39" i="20" l="1"/>
  <c r="K39" i="20"/>
  <c r="I39" i="20"/>
  <c r="F50" i="15"/>
  <c r="I38" i="20" l="1"/>
  <c r="K38" i="20"/>
  <c r="J38" i="20"/>
  <c r="F49" i="15"/>
  <c r="I37" i="20" l="1"/>
  <c r="J37" i="20"/>
  <c r="K37" i="20"/>
  <c r="F48" i="15"/>
  <c r="I36" i="20" l="1"/>
  <c r="J36" i="20"/>
  <c r="K36" i="20"/>
  <c r="F47" i="15"/>
  <c r="J35" i="20" l="1"/>
  <c r="K35" i="20"/>
  <c r="I35" i="20"/>
  <c r="F46" i="15"/>
  <c r="K34" i="20" l="1"/>
  <c r="J34" i="20"/>
  <c r="I34" i="20"/>
  <c r="F45" i="15"/>
  <c r="K33" i="20" l="1"/>
  <c r="J33" i="20"/>
  <c r="I33" i="20"/>
  <c r="F44" i="15"/>
  <c r="J32" i="20" l="1"/>
  <c r="K32" i="20"/>
  <c r="I32" i="20"/>
  <c r="F43" i="15"/>
  <c r="J31" i="20" l="1"/>
  <c r="K31" i="20"/>
  <c r="I31" i="20"/>
  <c r="F42" i="15"/>
  <c r="J30" i="20" l="1"/>
  <c r="K30" i="20"/>
  <c r="I30" i="20"/>
  <c r="F41" i="15"/>
  <c r="I29" i="20" l="1"/>
  <c r="J29" i="20"/>
  <c r="K29" i="20"/>
  <c r="F40" i="15"/>
  <c r="I28" i="20" l="1"/>
  <c r="J28" i="20"/>
  <c r="K28" i="20"/>
  <c r="F39" i="15"/>
  <c r="J27" i="20" l="1"/>
  <c r="K27" i="20"/>
  <c r="I27" i="20"/>
  <c r="F38" i="15"/>
  <c r="J26" i="20" l="1"/>
  <c r="K26" i="20"/>
  <c r="I26" i="20"/>
  <c r="F37" i="15"/>
  <c r="K25" i="20" l="1"/>
  <c r="J25" i="20"/>
  <c r="I25" i="20"/>
  <c r="F36" i="15"/>
  <c r="I24" i="20" l="1"/>
  <c r="J24" i="20"/>
  <c r="K24" i="20"/>
  <c r="F35" i="15"/>
  <c r="J23" i="20" l="1"/>
  <c r="K23" i="20"/>
  <c r="I23" i="20"/>
  <c r="F34" i="15"/>
  <c r="J22" i="20" l="1"/>
  <c r="K22" i="20"/>
  <c r="I22" i="20"/>
  <c r="F33" i="15"/>
  <c r="I21" i="20" l="1"/>
  <c r="J21" i="20"/>
  <c r="K21" i="20"/>
  <c r="F32" i="15"/>
  <c r="I20" i="20" l="1"/>
  <c r="J20" i="20"/>
  <c r="K20" i="20"/>
  <c r="F31" i="15"/>
  <c r="J19" i="20" l="1"/>
  <c r="K19" i="20"/>
  <c r="I19" i="20"/>
  <c r="F30" i="15"/>
  <c r="K18" i="20" l="1"/>
  <c r="I18" i="20"/>
  <c r="J18" i="20"/>
  <c r="F29" i="15"/>
  <c r="I17" i="20" l="1"/>
  <c r="K17" i="20"/>
  <c r="J17" i="20"/>
  <c r="F28" i="15"/>
  <c r="I16" i="20" l="1"/>
  <c r="J16" i="20"/>
  <c r="K16" i="20"/>
  <c r="F27" i="15"/>
  <c r="J15" i="20" l="1"/>
  <c r="K15" i="20"/>
  <c r="I15" i="20"/>
  <c r="F26" i="15"/>
  <c r="K14" i="20" l="1"/>
  <c r="I14" i="20"/>
  <c r="J14" i="20"/>
  <c r="F25" i="15"/>
  <c r="I13" i="20" l="1"/>
  <c r="J13" i="20"/>
  <c r="K13" i="20"/>
  <c r="F24" i="15"/>
  <c r="I12" i="20" l="1"/>
  <c r="J12" i="20"/>
  <c r="K12" i="20"/>
  <c r="F23" i="15"/>
  <c r="J11" i="20" l="1"/>
  <c r="K11" i="20"/>
  <c r="I11" i="20"/>
  <c r="F22" i="15"/>
  <c r="K10" i="20" l="1"/>
  <c r="I10" i="20"/>
  <c r="J10" i="20"/>
  <c r="F21" i="15"/>
  <c r="J9" i="20" l="1"/>
  <c r="K9" i="20"/>
  <c r="I9" i="20"/>
  <c r="F20" i="15"/>
  <c r="I8" i="20" l="1"/>
  <c r="K8" i="20"/>
  <c r="J8" i="20"/>
  <c r="F19" i="15"/>
  <c r="J7" i="20" l="1"/>
  <c r="K7" i="20"/>
  <c r="I7" i="20"/>
  <c r="F18" i="15"/>
  <c r="K6" i="20" l="1"/>
  <c r="J6" i="20"/>
  <c r="I6" i="20"/>
  <c r="F17" i="15"/>
  <c r="I5" i="20" l="1"/>
  <c r="J5" i="20"/>
  <c r="K5" i="20"/>
  <c r="F16" i="15"/>
  <c r="I4" i="20" l="1"/>
  <c r="J4" i="20"/>
  <c r="K4" i="20"/>
  <c r="F15" i="15"/>
  <c r="J3" i="20" l="1"/>
  <c r="K3" i="20"/>
  <c r="I3" i="20"/>
  <c r="F14" i="15"/>
  <c r="K2" i="20" l="1"/>
  <c r="K177" i="20" s="1"/>
  <c r="J2" i="20"/>
  <c r="J177" i="20" s="1"/>
  <c r="I2" i="20"/>
  <c r="I177" i="20" s="1"/>
  <c r="F13" i="15"/>
  <c r="I180" i="20" l="1"/>
  <c r="J180" i="20"/>
  <c r="K180" i="20"/>
  <c r="F12" i="15"/>
  <c r="J184" i="20" l="1"/>
  <c r="K184" i="20"/>
  <c r="F11" i="15"/>
  <c r="F10" i="15" l="1"/>
  <c r="F9" i="15" l="1"/>
  <c r="F8" i="15" l="1"/>
  <c r="F7" i="15" l="1"/>
  <c r="F6" i="15" l="1"/>
  <c r="F5" i="15" l="1"/>
  <c r="F4" i="15" l="1"/>
  <c r="F2" i="15" l="1"/>
  <c r="F3" i="15"/>
  <c r="F228" i="15" l="1"/>
  <c r="F231" i="15" s="1"/>
</calcChain>
</file>

<file path=xl/sharedStrings.xml><?xml version="1.0" encoding="utf-8"?>
<sst xmlns="http://schemas.openxmlformats.org/spreadsheetml/2006/main" count="2952" uniqueCount="1287">
  <si>
    <t>18/1/95</t>
  </si>
  <si>
    <t>افتتاح حساب</t>
  </si>
  <si>
    <t>19/1/95</t>
  </si>
  <si>
    <t>21/1/95</t>
  </si>
  <si>
    <t>سهم سارا</t>
  </si>
  <si>
    <t>سهم علی</t>
  </si>
  <si>
    <t>مجموع</t>
  </si>
  <si>
    <t>28/1/95</t>
  </si>
  <si>
    <t>توضیحات</t>
  </si>
  <si>
    <t>انتقال از حساب مادر</t>
  </si>
  <si>
    <t>سود سارا در یک روزی که پول در حساب مادرم بود</t>
  </si>
  <si>
    <t>واریز مریم از قوامین</t>
  </si>
  <si>
    <t>برداشت علی</t>
  </si>
  <si>
    <t>برداشت علی 200 نقدی و 1 میلیون برای کرایه خانه</t>
  </si>
  <si>
    <t>نقدی از عابر بانک برای موبایل دیجی کالا</t>
  </si>
  <si>
    <t>انتقال به حساب ملت خودم 500 قسط مریم و 200 برای خرج کردن</t>
  </si>
  <si>
    <t>13/2/95</t>
  </si>
  <si>
    <t>واریز از کارت ملت علی</t>
  </si>
  <si>
    <t>دریافت از عابر بانک علی</t>
  </si>
  <si>
    <t>17/2/95</t>
  </si>
  <si>
    <t>مریم آرایشگاه ابرو</t>
  </si>
  <si>
    <t>22/2/95</t>
  </si>
  <si>
    <t>مریم دکتر زایمان ویزیت و نوار قلب</t>
  </si>
  <si>
    <t>23/2/95</t>
  </si>
  <si>
    <t>وام مریم که شفاعی ریخت</t>
  </si>
  <si>
    <t xml:space="preserve"> </t>
  </si>
  <si>
    <t>علی از عابر بانک گرفت</t>
  </si>
  <si>
    <t>27/2/95</t>
  </si>
  <si>
    <t>28/2/95</t>
  </si>
  <si>
    <t>بیمارستان بهمن</t>
  </si>
  <si>
    <t>29/2/95</t>
  </si>
  <si>
    <t>سود اردیبهشت باید تقسیم شود</t>
  </si>
  <si>
    <t>علی از عابربانک به بانک سپه</t>
  </si>
  <si>
    <t>واریز حقوق علی</t>
  </si>
  <si>
    <t>واریز حقوق مریم</t>
  </si>
  <si>
    <t>امتیاز کل</t>
  </si>
  <si>
    <t>امتیاز سارا</t>
  </si>
  <si>
    <t>امتیاز علی</t>
  </si>
  <si>
    <t>سود سارا</t>
  </si>
  <si>
    <t>سود علی</t>
  </si>
  <si>
    <t>کل پول سارا</t>
  </si>
  <si>
    <t>کل پول علی</t>
  </si>
  <si>
    <t>تعداد روز تا پرداخت سود</t>
  </si>
  <si>
    <t>انتقال به داود سهرابی</t>
  </si>
  <si>
    <t>23/3/95</t>
  </si>
  <si>
    <t>انتقال مریم به کارت</t>
  </si>
  <si>
    <t>31/03/95</t>
  </si>
  <si>
    <t>مریم خرید کرد</t>
  </si>
  <si>
    <t>سود خرداد باید تقسیم شود</t>
  </si>
  <si>
    <t>خرید سارا</t>
  </si>
  <si>
    <t>انتقال به کارت ملت مریم</t>
  </si>
  <si>
    <t>سارا بیعانه اجاره خانه</t>
  </si>
  <si>
    <t>20/4/95</t>
  </si>
  <si>
    <t>علی بابت رهن خانه جدید</t>
  </si>
  <si>
    <t>22/4/1395</t>
  </si>
  <si>
    <t>23/4/1395</t>
  </si>
  <si>
    <t>سارا ریخت به حساب مریم</t>
  </si>
  <si>
    <t>1/5/1395</t>
  </si>
  <si>
    <t>31/3/1395</t>
  </si>
  <si>
    <t>موجودی از ماه قبل</t>
  </si>
  <si>
    <t>واریز</t>
  </si>
  <si>
    <t>خرید</t>
  </si>
  <si>
    <t xml:space="preserve">امتیاز کل </t>
  </si>
  <si>
    <t>31/2/1395</t>
  </si>
  <si>
    <t>سود کل خرداد</t>
  </si>
  <si>
    <t>کل سود تیر</t>
  </si>
  <si>
    <t>سود کل اردیبهشت</t>
  </si>
  <si>
    <t>کل سود مرداد</t>
  </si>
  <si>
    <t>سود تیر باید تقسیم شود</t>
  </si>
  <si>
    <t>31/4/1395</t>
  </si>
  <si>
    <t>خنثی سازی سود قرض</t>
  </si>
  <si>
    <t>12/5/1395</t>
  </si>
  <si>
    <t>کاظم 5.5 به حساب سپه علی ریخت</t>
  </si>
  <si>
    <t>13/5/1395</t>
  </si>
  <si>
    <t>مابقی 5.5 از بانک سپه به مسکن</t>
  </si>
  <si>
    <t>علی نقدی گرفت از حساب سپه</t>
  </si>
  <si>
    <t>16/5/1395</t>
  </si>
  <si>
    <t>علی کارت کشید خرید ماهی</t>
  </si>
  <si>
    <t>20/5/1395</t>
  </si>
  <si>
    <t>علی از عابر بانک بابت خرید میز و صندلی کامپیوتر</t>
  </si>
  <si>
    <t>11/5/1395</t>
  </si>
  <si>
    <t>علی نقدی گرفت از عابر بانک بابت اسباب کشی</t>
  </si>
  <si>
    <t>علی از ملت به کارت مسکن ریخت گرفتن پول پیش خانه امیر آباد</t>
  </si>
  <si>
    <t>22/5/1395</t>
  </si>
  <si>
    <t>مریم میز تلوزیون خرید</t>
  </si>
  <si>
    <t>بدهی علی به مریم</t>
  </si>
  <si>
    <t>بعلاوه پولهای بیمه تکمیلی</t>
  </si>
  <si>
    <t>26/5/1395</t>
  </si>
  <si>
    <t>علی به اکبریان داد بابت خرید دستگاه تصفیه آب</t>
  </si>
  <si>
    <t>مانده تا 26</t>
  </si>
  <si>
    <t>31/5/1395</t>
  </si>
  <si>
    <t>1/6/1395</t>
  </si>
  <si>
    <t>سود مرداد باید تقسیم شود</t>
  </si>
  <si>
    <t>علی واریز کرد به حساب مریم (الان 26 میلیون بدهکارم)</t>
  </si>
  <si>
    <t>دستی دادم</t>
  </si>
  <si>
    <t>از قبل</t>
  </si>
  <si>
    <t>10/6/1395</t>
  </si>
  <si>
    <t>خرید قرص ماشین ظرفشویی</t>
  </si>
  <si>
    <t>خرید ظرف غذا و خورده ریز</t>
  </si>
  <si>
    <t>خرید سوفله</t>
  </si>
  <si>
    <t>دستی گرفتم</t>
  </si>
  <si>
    <t>11/6/1395</t>
  </si>
  <si>
    <t>خرید ساندویچ ساز 170 توستر 150 ترازو 175 آبمیوه گیری 200 مخلوط کن 370</t>
  </si>
  <si>
    <t>انتقال به بانک ملت علی</t>
  </si>
  <si>
    <t>مریم خرید</t>
  </si>
  <si>
    <t>14/6/1395</t>
  </si>
  <si>
    <t>سارا واریز کرد کلا 4.5 که در 3 مرحله به حساب واریز شد</t>
  </si>
  <si>
    <t>15/6/1395</t>
  </si>
  <si>
    <t>19/6/1395</t>
  </si>
  <si>
    <t>برآیند سفر بانه</t>
  </si>
  <si>
    <t>چوب پرده</t>
  </si>
  <si>
    <t>17/6/1395</t>
  </si>
  <si>
    <t>سارا واریز کرد کلا 4 میلیون در دو مرحله</t>
  </si>
  <si>
    <t>دستی به مریم دادم برای تولد</t>
  </si>
  <si>
    <t>24/06/1395</t>
  </si>
  <si>
    <t>مریم گرفت برای دکتر</t>
  </si>
  <si>
    <t>19/6 گرفتم</t>
  </si>
  <si>
    <t>28/06/1395</t>
  </si>
  <si>
    <t>28/6 گرفتم</t>
  </si>
  <si>
    <t>29/6 دادم 50 برای تولد رضا و 60 نقدی</t>
  </si>
  <si>
    <t>31/06/1395</t>
  </si>
  <si>
    <t>مریم بابت سونوگرافی داد</t>
  </si>
  <si>
    <t>31/6/1395</t>
  </si>
  <si>
    <t>1/7/1395</t>
  </si>
  <si>
    <t>سود شهریور باید تقسیم شود</t>
  </si>
  <si>
    <t>به حساب ریختم برای قسط و شفاعی</t>
  </si>
  <si>
    <t>19/7/1395</t>
  </si>
  <si>
    <t>علی گرفت بابت کرم و ظرف چینی</t>
  </si>
  <si>
    <t>شماره کارت</t>
  </si>
  <si>
    <t>شماره حساب</t>
  </si>
  <si>
    <t>شماره شبا</t>
  </si>
  <si>
    <t>26/7/1395</t>
  </si>
  <si>
    <t>علی واریز کرد بابت پول سکه منهای اینترنت و کرم</t>
  </si>
  <si>
    <t>29/7/1395</t>
  </si>
  <si>
    <t>خرید دارو پدیلاکت و قرص روی و ویتامین</t>
  </si>
  <si>
    <t>سود مهر باید تقسیم شود</t>
  </si>
  <si>
    <t>علی گرفت بابت قسط و کلاس و ...</t>
  </si>
  <si>
    <t>30/7/1395</t>
  </si>
  <si>
    <t>1/8/1395</t>
  </si>
  <si>
    <t>3/8/1395</t>
  </si>
  <si>
    <t>مریم دکتر رفت</t>
  </si>
  <si>
    <t>2/8/1395</t>
  </si>
  <si>
    <t>از مسکن 805500 گرفتم و 200000 انتقال دادم به حساب ملت مریم</t>
  </si>
  <si>
    <t>10/8/1395</t>
  </si>
  <si>
    <t>علی ریخت از کارت ایلیا</t>
  </si>
  <si>
    <t>در تاریخ 10/8/95 ریختم</t>
  </si>
  <si>
    <t>11/8/1395</t>
  </si>
  <si>
    <t>مهدی مستقیم واریز کرد</t>
  </si>
  <si>
    <t>در تاریخ 11/8/95 مهدی مستقیم واریز کرد</t>
  </si>
  <si>
    <t>13/8/1395</t>
  </si>
  <si>
    <t>در تاریخ 13/8/1395 مهدی مستقیم واریز کرد</t>
  </si>
  <si>
    <t>14/8/1395</t>
  </si>
  <si>
    <t>در تاریخ 14/8/1395 مهدی واریز کرد</t>
  </si>
  <si>
    <t>15/8/1395</t>
  </si>
  <si>
    <t>سارا از کارت برداشت کرد</t>
  </si>
  <si>
    <t>16/8/1395</t>
  </si>
  <si>
    <t>مریم اینترنتی داد 16/8/1395</t>
  </si>
  <si>
    <t>18/8/1395</t>
  </si>
  <si>
    <t>علی از عابربانک گرفت</t>
  </si>
  <si>
    <t>17/8/1395</t>
  </si>
  <si>
    <t>مریم خرید کرد (مرغ و ...)</t>
  </si>
  <si>
    <t>علی 140 گرفت و 60 نقدی داد به مریم</t>
  </si>
  <si>
    <t>20/8/1395</t>
  </si>
  <si>
    <t>19/8/1395</t>
  </si>
  <si>
    <t>مریم برای دکتر</t>
  </si>
  <si>
    <t>علی در تاریخ 20/8 از عابر بانک گرفت</t>
  </si>
  <si>
    <t>دو عدد کرم و آزمایش بیمارستان آراد</t>
  </si>
  <si>
    <t>نقدی به مریم دادم</t>
  </si>
  <si>
    <t>23/8/1395</t>
  </si>
  <si>
    <t>علی از بانک ملت ریخت</t>
  </si>
  <si>
    <t>به حساب ملت ریختم 27/8/95</t>
  </si>
  <si>
    <t>به حساب مسکن ریختم 27/8/1395</t>
  </si>
  <si>
    <t>27/8/1395</t>
  </si>
  <si>
    <t>علی از حساب ملت ریخت</t>
  </si>
  <si>
    <t>30/8/1395</t>
  </si>
  <si>
    <t>1/9/1395</t>
  </si>
  <si>
    <t>سود آبان باید تقسیم شود</t>
  </si>
  <si>
    <t>بدهی بیمه تکمیل</t>
  </si>
  <si>
    <t>بدهی کارت رفاه</t>
  </si>
  <si>
    <t>25/6/1395</t>
  </si>
  <si>
    <t>تاریخ</t>
  </si>
  <si>
    <t>مبلغ واریزی</t>
  </si>
  <si>
    <t>کل</t>
  </si>
  <si>
    <t>تعداد روز</t>
  </si>
  <si>
    <t>5/9/1395</t>
  </si>
  <si>
    <t>بدهی اولیه</t>
  </si>
  <si>
    <t>مهدی در چند مرحله کارت به کارت کرد</t>
  </si>
  <si>
    <t>وام بانک رفاه</t>
  </si>
  <si>
    <t>6/9/1395</t>
  </si>
  <si>
    <t>مجموع میلیون روز</t>
  </si>
  <si>
    <t>درصد سود</t>
  </si>
  <si>
    <t>مجموع سود</t>
  </si>
  <si>
    <t>4/9/1395</t>
  </si>
  <si>
    <t>علی از عابربانک گرفت خرید ظروف گلی</t>
  </si>
  <si>
    <t>خرید پاور بانک و پوشک از دیجی کالا</t>
  </si>
  <si>
    <t>مبلغ 10 دستی، 66 هزار مانده از خرید ظروف گلی و 49 پوشک دیجی کالا</t>
  </si>
  <si>
    <t>7/9/1395</t>
  </si>
  <si>
    <t>مامان به کارت ایلیا ریخت</t>
  </si>
  <si>
    <t>به صورت نقد دادم</t>
  </si>
  <si>
    <t>9/9/1395 فروش حواله 206 در حساب ایلیا</t>
  </si>
  <si>
    <t>سهم علی از فروش حواله اول</t>
  </si>
  <si>
    <t>13/09/1395</t>
  </si>
  <si>
    <t>علی 3 تومن به کارت مسکن مریم ریخت و 200 نقدی که 170 را به مریم داد</t>
  </si>
  <si>
    <t>هزینه صلح حواله اول</t>
  </si>
  <si>
    <t>فروش حواله دوم در تاریخ 13/9/1395</t>
  </si>
  <si>
    <t>از بانک 200 گرفتم 170 به مریم دادم و 25 هزینه دفتر خانه حواله دوم</t>
  </si>
  <si>
    <t>سهم علی از فروش حواله دوم (حواله دوم سهم نمایندگی پرداخت نشد)</t>
  </si>
  <si>
    <t>14/09/1395</t>
  </si>
  <si>
    <t>علی 3 تومن به کارت مسکن مریم ریخت و 200 نقدی که بدهکار شد.</t>
  </si>
  <si>
    <t>نقدی از کارت سارا گرفتم 14/9/95</t>
  </si>
  <si>
    <t>از کارت ایلیا به کارت مریم ریختم 14/9/1395</t>
  </si>
  <si>
    <t>15/09/1395</t>
  </si>
  <si>
    <t>علی 3 به کارت مسکن مریم ریخت و 200 هم نقدی به مریم داد به بازار برود</t>
  </si>
  <si>
    <t>فروش حواله سوم در تاریخ 15/9/1395</t>
  </si>
  <si>
    <t>سهم علی از فروش حواله سوم</t>
  </si>
  <si>
    <t>سهم علی از پول نمایندگی حواله دوم</t>
  </si>
  <si>
    <t>16/09/1395</t>
  </si>
  <si>
    <t>علی 3 به کارت ملت ریخت و 200 نقدی برای ثبت نام حواله</t>
  </si>
  <si>
    <t>تاریخ 16/9/95 به حساب ملت ریختم از کارت سارا</t>
  </si>
  <si>
    <t>تاریخ 16/9/95 به حساب ملت ریختم از کارت مریم</t>
  </si>
  <si>
    <t>تاریخ 16/9/95 مبلغ 3 میلیون به کارت مسکن و 800 هزار تومن به حساب ملت مریم ریختم</t>
  </si>
  <si>
    <t>تاریخ 17/9/1395 از بانک ملت خودم ساتنا به حساب مریم</t>
  </si>
  <si>
    <t>17/9/1395</t>
  </si>
  <si>
    <t>علی 3 به کارت مسکن مریم ریخت و 200 هم برای خودش نقد گرفت</t>
  </si>
  <si>
    <t>تاریخ 17/9/1395 از کارت سارا نقد گرفتم</t>
  </si>
  <si>
    <t>18/9/1395</t>
  </si>
  <si>
    <t>علی 3 به کارت ملت مریم ریخت و 200 هم نقدی به مریم داد برای بازار</t>
  </si>
  <si>
    <t>سهم علی از تامین اجتماعی تولد ایلیا (1.1 بیمه ریخت، 660 بیمه تکمیلی ایلیا، 50 موجودی حساب، 998330 تومن در تاریخ 20/9/1395 به حساب مسکن مریم ریختم</t>
  </si>
  <si>
    <t>20/9/1395</t>
  </si>
  <si>
    <t>به غیر از 5 هزار تومن بقیه را به مسکن مریم انتقال دادم</t>
  </si>
  <si>
    <t>تاریخ 20/9/95 از حساب سارا برداشتم</t>
  </si>
  <si>
    <t>تاریخ 20/9/95 از حساب ایلیا به حساب مریم رختم</t>
  </si>
  <si>
    <t>حداقل مدت انتظار (ماه)</t>
  </si>
  <si>
    <t>ضریب (برابر متوسط موجودی)</t>
  </si>
  <si>
    <t>سقف اوراق قابل تخصیص (میلیون تومان)</t>
  </si>
  <si>
    <t>حداکثر متوسط موجودی برای از بین نرفتن امتیاز</t>
  </si>
  <si>
    <t>تاریخ 22/9/95 از بانک ملت مریم به داریوش قرض دادم</t>
  </si>
  <si>
    <t>30/9/1395</t>
  </si>
  <si>
    <t>علی از عابر بانک گرفت برای خرید کامپیوتر</t>
  </si>
  <si>
    <t>تاریخ 30/9/95 از عابر بانک سارا گرفتم</t>
  </si>
  <si>
    <t>کل سود آذر</t>
  </si>
  <si>
    <t>1/10/1395</t>
  </si>
  <si>
    <t>سود آذر ماه</t>
  </si>
  <si>
    <t>قرص pre nutal</t>
  </si>
  <si>
    <t xml:space="preserve">یک کیلو عسل </t>
  </si>
  <si>
    <t>6/10/1395</t>
  </si>
  <si>
    <t>علی از کارت ملت ریخت</t>
  </si>
  <si>
    <t>تاریخ 6/10/95 از کارت ملت به کارت سارا ریختم</t>
  </si>
  <si>
    <t>9/10/1395</t>
  </si>
  <si>
    <t>خرید تخت ایلیا</t>
  </si>
  <si>
    <t>14/10/1395</t>
  </si>
  <si>
    <t>علی از کارت ایلیا ریخت</t>
  </si>
  <si>
    <t>ریختن پول تخت ایلیا به حساب سارا</t>
  </si>
  <si>
    <t>از کارت بانک رفاه از عابربانک گرفتم</t>
  </si>
  <si>
    <t>پول فروش موکت</t>
  </si>
  <si>
    <t>سهم مریم از صافکاری ماشین</t>
  </si>
  <si>
    <t>از حساب ملت مریم به حساب خودم ریختم</t>
  </si>
  <si>
    <t>تاریخ 29/10/95 از کارت ایلیا به کارت ملت مریم ریختم</t>
  </si>
  <si>
    <t>تاریخ 2/11/95 یک تومن هم از مریم گرفتم و 3 تومن از کارت ملت علی به کارت مسکن مریم ریختم</t>
  </si>
  <si>
    <t>تاریخ 2/11/95 اینترنت رایتل 36 گیگ یکساله خریدم از کارت ملت</t>
  </si>
  <si>
    <t>تاریخ 4/11/1395 مبلغ 3 میلیون از کارت ایلیا به کارت سارا ریختم</t>
  </si>
  <si>
    <t>30/10/1395</t>
  </si>
  <si>
    <t>1/11/1395</t>
  </si>
  <si>
    <t>4/11/1395</t>
  </si>
  <si>
    <t>سود دی ماه</t>
  </si>
  <si>
    <t>هزینه نقاشی سهم مریم</t>
  </si>
  <si>
    <t>تاریخ 8/11/95 از حساب ملت مریم 850 گرفتم و 500 انتقال دادم به حساب مسکن مریم و 350 ماند</t>
  </si>
  <si>
    <t>مبلغ</t>
  </si>
  <si>
    <t>8/11/1395</t>
  </si>
  <si>
    <t>علی انتقال داد</t>
  </si>
  <si>
    <t>2/11/1395</t>
  </si>
  <si>
    <t>سود دی و آذر</t>
  </si>
  <si>
    <t>16/10/1395</t>
  </si>
  <si>
    <t>15/10/1395</t>
  </si>
  <si>
    <t>2/10/1395</t>
  </si>
  <si>
    <t>16/9/1395</t>
  </si>
  <si>
    <t>15/9/1395</t>
  </si>
  <si>
    <t>14/9/1395</t>
  </si>
  <si>
    <t>13/9/1395</t>
  </si>
  <si>
    <t>9/9/1395</t>
  </si>
  <si>
    <t>تعداد روز تا تراکنش بعدی</t>
  </si>
  <si>
    <t>تعداد کا روزهایی که از تراکنش گذشته است</t>
  </si>
  <si>
    <t>امتیاز</t>
  </si>
  <si>
    <t>مجموع موجودی</t>
  </si>
  <si>
    <t>مجموع امتیاز</t>
  </si>
  <si>
    <t>اصلاح واریز و برداشت</t>
  </si>
  <si>
    <t>متوسط موجودی</t>
  </si>
  <si>
    <t>تاریخ افتتاح حساب</t>
  </si>
  <si>
    <t>مریم خ یاران</t>
  </si>
  <si>
    <t>مریم سید الشهدا</t>
  </si>
  <si>
    <t>علی سید الشهدا</t>
  </si>
  <si>
    <t>ایلیا اشرفی اصفهانی</t>
  </si>
  <si>
    <t>14/11/1395</t>
  </si>
  <si>
    <t>IR250140040000410023383764</t>
  </si>
  <si>
    <t>10/03/1395</t>
  </si>
  <si>
    <t>علی سیبا</t>
  </si>
  <si>
    <t>مریم سیبا</t>
  </si>
  <si>
    <t>0-215965442006</t>
  </si>
  <si>
    <t>0-221983661009</t>
  </si>
  <si>
    <t>حساب مسکن ایلیا</t>
  </si>
  <si>
    <t>موجودی از سال قبل</t>
  </si>
  <si>
    <t>دریافت طلبهای مختلف از سازمان</t>
  </si>
  <si>
    <t>تاریخ 14/11/95 برای افتتاح حساب مسکن مریم به بانک دادم</t>
  </si>
  <si>
    <t>خرج خانه سال 96</t>
  </si>
  <si>
    <t>هزینه ماهیانه</t>
  </si>
  <si>
    <t>شارژ مجتمع</t>
  </si>
  <si>
    <t>پوشک</t>
  </si>
  <si>
    <t>میوه</t>
  </si>
  <si>
    <t>گوشت و مرغ  و ماهی</t>
  </si>
  <si>
    <t>برنج</t>
  </si>
  <si>
    <t>لباس</t>
  </si>
  <si>
    <t>اتومبیل</t>
  </si>
  <si>
    <t>لبنیات</t>
  </si>
  <si>
    <t>حبوبات</t>
  </si>
  <si>
    <t>متفرقه</t>
  </si>
  <si>
    <t>نان</t>
  </si>
  <si>
    <t>گردو و بادام و ...</t>
  </si>
  <si>
    <t>شیر خشک و ...</t>
  </si>
  <si>
    <t xml:space="preserve">روغن </t>
  </si>
  <si>
    <t>رب و سیب زمین و پیاز</t>
  </si>
  <si>
    <t>ترشی و سس و زیتون</t>
  </si>
  <si>
    <t>شارژ بلوک شامل قبوض</t>
  </si>
  <si>
    <t>گردش</t>
  </si>
  <si>
    <t>از بن کارت ملت مریم 742 گرفتم و 500 به حساب ملت مریم ریختم</t>
  </si>
  <si>
    <t>اینترنت و موبایل</t>
  </si>
  <si>
    <t xml:space="preserve"> شماره 6280231491336490</t>
  </si>
  <si>
    <t>شماره 6280231491338110</t>
  </si>
  <si>
    <t>دکتر و دارو</t>
  </si>
  <si>
    <t>هزینه روزانه</t>
  </si>
  <si>
    <t>هزینه گواهی امضا و چک رمز دار حواله اس دی اسفند</t>
  </si>
  <si>
    <t>20/11/1395</t>
  </si>
  <si>
    <t>حواله اس دی</t>
  </si>
  <si>
    <t>17/11/1395</t>
  </si>
  <si>
    <t>ایاب ذهاب</t>
  </si>
  <si>
    <t>06/11/1395</t>
  </si>
  <si>
    <t>پول برنج</t>
  </si>
  <si>
    <t>6/11/1395</t>
  </si>
  <si>
    <t>بدهی به مریم</t>
  </si>
  <si>
    <t>نقدی گرفتم</t>
  </si>
  <si>
    <t>از عابر بانک ملت مریم دستی گرفتم</t>
  </si>
  <si>
    <t>از کارت ملت مریم رستوران دادم</t>
  </si>
  <si>
    <t>هزینه ویزیت دارو و سرم مریم</t>
  </si>
  <si>
    <t>از 3 عدد کارت مسکن مریم به کارت ایلیا ریختم بابت خرید خودرو</t>
  </si>
  <si>
    <t>22/11/1395</t>
  </si>
  <si>
    <t>علی به کارت ایلیا ریخت</t>
  </si>
  <si>
    <t>از 3 عدد کارت مسکن مریم ریختم</t>
  </si>
  <si>
    <t>24/11/1395</t>
  </si>
  <si>
    <t>خرید حواله ساندرو علی</t>
  </si>
  <si>
    <t>29/10/1395</t>
  </si>
  <si>
    <t>29/10/139</t>
  </si>
  <si>
    <t>12/10/1395</t>
  </si>
  <si>
    <t>3/10/1395</t>
  </si>
  <si>
    <t>25/9/1395</t>
  </si>
  <si>
    <t>09/9/1395</t>
  </si>
  <si>
    <t>07/9/1395</t>
  </si>
  <si>
    <t>06/9/1395</t>
  </si>
  <si>
    <t>05/9/1395</t>
  </si>
  <si>
    <t>04/9/1395</t>
  </si>
  <si>
    <t>09/8/1395</t>
  </si>
  <si>
    <t>25/7/1395</t>
  </si>
  <si>
    <t>18/7/1395</t>
  </si>
  <si>
    <t>17/7/1395</t>
  </si>
  <si>
    <t>16/7/1395</t>
  </si>
  <si>
    <t>13/7/1395</t>
  </si>
  <si>
    <t>11/7/1395</t>
  </si>
  <si>
    <t>10/7/1395</t>
  </si>
  <si>
    <t>09/7/1395</t>
  </si>
  <si>
    <t>05/7/1395</t>
  </si>
  <si>
    <t>01/7/1395</t>
  </si>
  <si>
    <t>09/6/1395</t>
  </si>
  <si>
    <t>04/6/1395</t>
  </si>
  <si>
    <t>03/6/1395</t>
  </si>
  <si>
    <t>10/5/1395</t>
  </si>
  <si>
    <t>02/5/1395</t>
  </si>
  <si>
    <t>01/5/1395</t>
  </si>
  <si>
    <t>سود تیر ماه</t>
  </si>
  <si>
    <t>26/4/1395</t>
  </si>
  <si>
    <t>21/4/1395</t>
  </si>
  <si>
    <t>20/4/1395</t>
  </si>
  <si>
    <t>19/4/1395</t>
  </si>
  <si>
    <t>17/4/1395</t>
  </si>
  <si>
    <t>16/4/1395</t>
  </si>
  <si>
    <t>15/4/1395</t>
  </si>
  <si>
    <t>13/4/1395</t>
  </si>
  <si>
    <t>09/4/1395</t>
  </si>
  <si>
    <t>08/4/1395</t>
  </si>
  <si>
    <t>05/4/1395</t>
  </si>
  <si>
    <t>03/4/1395</t>
  </si>
  <si>
    <t>02/4/1395</t>
  </si>
  <si>
    <t>23/3/1395</t>
  </si>
  <si>
    <t>19/3/1395</t>
  </si>
  <si>
    <t>18/3/1395</t>
  </si>
  <si>
    <t>17/3/1395</t>
  </si>
  <si>
    <t>15/3/1395</t>
  </si>
  <si>
    <t>12/3/1395</t>
  </si>
  <si>
    <t>سود مرداد 806 تومان</t>
  </si>
  <si>
    <t>سود شهریور 204 تومان</t>
  </si>
  <si>
    <t>سود مهر ماه 5189 تومان</t>
  </si>
  <si>
    <t>26/11/1395</t>
  </si>
  <si>
    <t>01/12/1395</t>
  </si>
  <si>
    <t>سود بهمن ماه</t>
  </si>
  <si>
    <t>2/12/1395</t>
  </si>
  <si>
    <t>انتقال از حساب ملت علی</t>
  </si>
  <si>
    <t>1/12/1395</t>
  </si>
  <si>
    <t>علی از کارت ملت خودش ریخت</t>
  </si>
  <si>
    <t>کل سود بهمن</t>
  </si>
  <si>
    <t>تاریخ 1/12/1395 از کارت ملت علی به کارت مسکن یاران مریم ریختم</t>
  </si>
  <si>
    <t>تاریخ 1/12 مبلغ 750000 و 2/12 مبلغ 1000000 تومان از کارت ملت مریم به کارت ملت علی ریختم</t>
  </si>
  <si>
    <t>کل سود اسفند</t>
  </si>
  <si>
    <t>3/12/1395</t>
  </si>
  <si>
    <t>انتقال از 3 کارت مسکن مریم و سارا</t>
  </si>
  <si>
    <t>علی 3 به کارت ایلیا و 200 نقدی گرفت</t>
  </si>
  <si>
    <t>سارا واریز کرد</t>
  </si>
  <si>
    <t xml:space="preserve">سارا از کارت گرفت </t>
  </si>
  <si>
    <t>21/11/1395</t>
  </si>
  <si>
    <t>علی 1.5 به کارت ایلیا انتقال داد و 200 نقد گرفت</t>
  </si>
  <si>
    <t>تاریخ 3/12/95 از 3 کارت مسکن مریم و سارا 7.5 به کارت ایلیا و 600 نقدی گرفتم</t>
  </si>
  <si>
    <t>تاریخ 3/12/95 از حساب ملت مریم به حساب ملت علی ریختم</t>
  </si>
  <si>
    <t>تاریخ 3/12/1395 از ملت علی به حساب شرکت بیمه تکمیلی مریم ریختم</t>
  </si>
  <si>
    <t>تاریخ 3/12/1395 یک حواله h30 cross تحویل آبان 96 برای مریم ثبت نام کردم</t>
  </si>
  <si>
    <t>تاریخ 5/12/95 مبلغ 3 میلیون تومان از کارت سید الشهدا مریم به کارت ایلیا انتقال دادم</t>
  </si>
  <si>
    <t>5/12/1395</t>
  </si>
  <si>
    <t>علی 3 به کارت ایلیا انتقال داد</t>
  </si>
  <si>
    <t>تاریخ 5/12/1395 از مسکن مریم یاران 3 میلیون به مسکن ایلیا انتقال دادم</t>
  </si>
  <si>
    <t>خرید 3 عدد حواله اچ 30 کراس</t>
  </si>
  <si>
    <t>دریافت نقدی از عابر بانک</t>
  </si>
  <si>
    <t>واریز از کارتهای مریم</t>
  </si>
  <si>
    <t>07/12/1395</t>
  </si>
  <si>
    <t>مریم به کارت مسکن یاران انتقال داد</t>
  </si>
  <si>
    <t>انتقال از کارت سارا</t>
  </si>
  <si>
    <t>انتقال از کارت ایلیا</t>
  </si>
  <si>
    <t>انتقال از کارت مسکن سیدالشهدا مریم</t>
  </si>
  <si>
    <t>علی نقدی گرفت</t>
  </si>
  <si>
    <t>تاریخ 7/12/1395 به کارت مسکن یاران مریم ریختم برای خرید ساندرو</t>
  </si>
  <si>
    <t>7/12/1395</t>
  </si>
  <si>
    <t>به کارت مریم یاران و 5 نقدی</t>
  </si>
  <si>
    <t>انتقال به کارت مریم یاران و 5 نقدی</t>
  </si>
  <si>
    <t>تاریخ 10/12/95 از حساب مریم یاران به حساب ایلیا ریختم.</t>
  </si>
  <si>
    <t>از حساب یاران مریم 200 گرفتم و 80 به خودش دادم</t>
  </si>
  <si>
    <t>10/12/1395</t>
  </si>
  <si>
    <t>از حساب یاران مریم ریختم</t>
  </si>
  <si>
    <t>به حساب سارا 20 و حساب ایلیا 6 و 200 نقدی</t>
  </si>
  <si>
    <t>08/12/1395</t>
  </si>
  <si>
    <t>خرید حواله استپ وی تحویل مرداد</t>
  </si>
  <si>
    <t>انتقال از حساب یاران مریم</t>
  </si>
  <si>
    <t>از ملت مریم به ملت علی</t>
  </si>
  <si>
    <t>ماه</t>
  </si>
  <si>
    <t>هزینه ها</t>
  </si>
  <si>
    <t>سال</t>
  </si>
  <si>
    <t>ضریب افزایش حقوق و هزینه ماهیانه</t>
  </si>
  <si>
    <t>ضریب سود بانکی ماهیانه</t>
  </si>
  <si>
    <t>منابع مالی حاضر</t>
  </si>
  <si>
    <t>علی</t>
  </si>
  <si>
    <t>حساب علی سید الشهدا</t>
  </si>
  <si>
    <t>میزان محقق شده</t>
  </si>
  <si>
    <t>اختلاف هدف و واقعیت</t>
  </si>
  <si>
    <t>پول نقد علی</t>
  </si>
  <si>
    <t xml:space="preserve">از مریم 50 نقد گرفتم </t>
  </si>
  <si>
    <t>22/12/1395</t>
  </si>
  <si>
    <t>دستی از عابربانک گرفتم</t>
  </si>
  <si>
    <t>23/12/1395</t>
  </si>
  <si>
    <t>از بدهی پدر</t>
  </si>
  <si>
    <t>به کارت ایلیا</t>
  </si>
  <si>
    <t>اسباب بازی ایلیا</t>
  </si>
  <si>
    <t>از ملت مریم به ملت علی (از حقوق اسفند)</t>
  </si>
  <si>
    <t>24/12/1395</t>
  </si>
  <si>
    <t>از ملت علی حقوق اسفند</t>
  </si>
  <si>
    <t>از حساب مریم گرفتم</t>
  </si>
  <si>
    <t>موبایل ال جی از دیجی کالا</t>
  </si>
  <si>
    <t>لامپ</t>
  </si>
  <si>
    <t>28/12/1395</t>
  </si>
  <si>
    <t>29/12/1395</t>
  </si>
  <si>
    <t>برداشت از عابربانک</t>
  </si>
  <si>
    <t>سود اسفند ماه باید تقسیم شود</t>
  </si>
  <si>
    <t>در بازگشت از سفر دستی دادم</t>
  </si>
  <si>
    <t>سود اسفند ماه</t>
  </si>
  <si>
    <t>هزینه اتومبیل</t>
  </si>
  <si>
    <t>روغن</t>
  </si>
  <si>
    <t>افزایش ماهیانه پول پیش خانه</t>
  </si>
  <si>
    <t>جلو بندی</t>
  </si>
  <si>
    <t>شیشه جلو</t>
  </si>
  <si>
    <t>دو بار 110 هزار تومان دستی گرفتم</t>
  </si>
  <si>
    <t>سود اسفند ماه منهای 5000 هزینه اس ام اس</t>
  </si>
  <si>
    <t>سهم مریم</t>
  </si>
  <si>
    <t>امتیاز مریم</t>
  </si>
  <si>
    <t>مجموع امتیاز کل</t>
  </si>
  <si>
    <t>مجموع امتیاز سارا</t>
  </si>
  <si>
    <t>مجموع امتیاز مریم</t>
  </si>
  <si>
    <t>مجموع سارا</t>
  </si>
  <si>
    <t>مجموع مریم</t>
  </si>
  <si>
    <t>1/1/1396</t>
  </si>
  <si>
    <t>متوسط موجودی کل</t>
  </si>
  <si>
    <t>متوسط موجودی سارا</t>
  </si>
  <si>
    <t>متوسط موجودی مریم</t>
  </si>
  <si>
    <t>16/1/1396</t>
  </si>
  <si>
    <t>17/1/1396</t>
  </si>
  <si>
    <t>علی از کارت سارا به کارت مسکن یاران مریم انتقال داد</t>
  </si>
  <si>
    <t>از کارت مسکن ایلیا</t>
  </si>
  <si>
    <t>سود اسفند منهای 5000 هزینه اس ام اس</t>
  </si>
  <si>
    <t>انتقال به کارت مسکن یاران مریم</t>
  </si>
  <si>
    <t>19/1/1396</t>
  </si>
  <si>
    <t>به کارت ابوالفضل بابت خسارت گوشی</t>
  </si>
  <si>
    <t>از عابربانک گرفتم</t>
  </si>
  <si>
    <t>خسارت موبایل ابوالفضل</t>
  </si>
  <si>
    <t>25/1/1396</t>
  </si>
  <si>
    <t>خرید از شهروند</t>
  </si>
  <si>
    <t>اصلاح حساب با فایل</t>
  </si>
  <si>
    <t>26/1/1396</t>
  </si>
  <si>
    <t>از عابر 200 و خرید گوشت 232</t>
  </si>
  <si>
    <t>1/2/1396</t>
  </si>
  <si>
    <t>سود فروردین</t>
  </si>
  <si>
    <t>اصلاح با مقدار واقعی حساب</t>
  </si>
  <si>
    <t>هزینه اس ام اس و انتقال گویا</t>
  </si>
  <si>
    <t>سود فروردین ماه باید تقسیم شود</t>
  </si>
  <si>
    <t>پایان اسفند 95 با حقوق</t>
  </si>
  <si>
    <t>2/2/1396</t>
  </si>
  <si>
    <t>حقوق علی</t>
  </si>
  <si>
    <t>حقوق مریم</t>
  </si>
  <si>
    <t>با احتساب حقوق فروردین</t>
  </si>
  <si>
    <t>16/2/1396</t>
  </si>
  <si>
    <t>علی گرفت بدهی به داریوش</t>
  </si>
  <si>
    <t>علی گوشی موبایل خرید</t>
  </si>
  <si>
    <t>اینترنت مریم</t>
  </si>
  <si>
    <t>18/2/1396</t>
  </si>
  <si>
    <t>بخشی از پول حواله استپ وی مریم</t>
  </si>
  <si>
    <t>مابقی پول استپ وی مریم از بانک شهر</t>
  </si>
  <si>
    <t>14/2/1396</t>
  </si>
  <si>
    <t>سارا به مریم نقدی داد</t>
  </si>
  <si>
    <t>از 500 تومن سارا از مریم گرفتم (400 بود 150 پا گشا و 100 دستی بازگرداندم</t>
  </si>
  <si>
    <t xml:space="preserve">از کارت یاران نقدی گرفتم </t>
  </si>
  <si>
    <t>از کارت یاران گوشی خریدم</t>
  </si>
  <si>
    <t>سهم علی از سود حواله استپ وی مریم</t>
  </si>
  <si>
    <t>22/2/1396</t>
  </si>
  <si>
    <t>علی از عابربانک در شمال گرفت</t>
  </si>
  <si>
    <t>علی در شمال رستوران</t>
  </si>
  <si>
    <t>از کارت سارا گرفتم</t>
  </si>
  <si>
    <t>از کارت مسکن یاران 23 اردیبهشت گرفتم</t>
  </si>
  <si>
    <t>اردیبهشت 23 از عابربانک گرفتم</t>
  </si>
  <si>
    <t>25/2/1396</t>
  </si>
  <si>
    <t>26/2/1396</t>
  </si>
  <si>
    <t>از عابربانک گرفت و 115 به مریم داد</t>
  </si>
  <si>
    <t>روز 25ام 85 و 26ام 170</t>
  </si>
  <si>
    <t>روز 30 اردیبهشت از ملت به ملت ریختم</t>
  </si>
  <si>
    <t>31/2/1396</t>
  </si>
  <si>
    <t>حقوق اردیبهشت مریم</t>
  </si>
  <si>
    <t>حقوق اردیبهشت علی</t>
  </si>
  <si>
    <t>با احتساب حقوق اردیبهشت</t>
  </si>
  <si>
    <t>پس انداز هدف</t>
  </si>
  <si>
    <t>1/03/1396</t>
  </si>
  <si>
    <t>سود اردیبهشت 96</t>
  </si>
  <si>
    <t>1/3/1396</t>
  </si>
  <si>
    <t>سهم سود سارا در اردیبهشت که در حساب یاران مریم است.</t>
  </si>
  <si>
    <t xml:space="preserve">از کارت مسکن سارا </t>
  </si>
  <si>
    <t>سود اردیبهشت ماه باید تقسیم شود</t>
  </si>
  <si>
    <t>روز 1/3/96 از عابر یاران گرفتم</t>
  </si>
  <si>
    <t>یک کیلو فندق برای مریم خریدم</t>
  </si>
  <si>
    <t>از کارت ملت مریم نقدی گرفتم</t>
  </si>
  <si>
    <t>کرم ساروینا خریدم</t>
  </si>
  <si>
    <t>تسمه تایم</t>
  </si>
  <si>
    <t>برای اینکه در 18 ماه اوراق تعلق بگیرد باید از تاریخ 15/3/96 مبلغ 38 میلیون در حساب اضافه کرد</t>
  </si>
  <si>
    <t>8/3/1396</t>
  </si>
  <si>
    <t>علی 200 به ملت مریم انتقال داد و 200 نقد گرفت</t>
  </si>
  <si>
    <t>از کارت مسکن یاران مریم نقدی گرفتم 8/3/96</t>
  </si>
  <si>
    <t>پژو</t>
  </si>
  <si>
    <t>لاستیک عقب</t>
  </si>
  <si>
    <t>لاستیک جلو</t>
  </si>
  <si>
    <t>فیلتر هوا</t>
  </si>
  <si>
    <t>فیلتر کابین</t>
  </si>
  <si>
    <t>فیلتر روغن</t>
  </si>
  <si>
    <t>15/4/93</t>
  </si>
  <si>
    <t>15/4/95</t>
  </si>
  <si>
    <t>کیلومتر ماشین</t>
  </si>
  <si>
    <t>کارکرد</t>
  </si>
  <si>
    <t>کیلومتر فعلی</t>
  </si>
  <si>
    <t>ماکزیمم نسوختن</t>
  </si>
  <si>
    <t>17/3/96</t>
  </si>
  <si>
    <t>تاریخ 16/3 از کارت یاران گرفتم</t>
  </si>
  <si>
    <t>23/3/96</t>
  </si>
  <si>
    <t>23/3/1396</t>
  </si>
  <si>
    <t>به مسکن سارا</t>
  </si>
  <si>
    <t>چهل از مسکن یاران منهای 500 به علیرضا و 100 از عابربانک</t>
  </si>
  <si>
    <t>صد از عابربانک سارا گرفتم و 500 به علیرضا دادم</t>
  </si>
  <si>
    <t>2/4/1396</t>
  </si>
  <si>
    <t>حقوق خرداد علی</t>
  </si>
  <si>
    <t>1/4/1396</t>
  </si>
  <si>
    <t>سود خرداد</t>
  </si>
  <si>
    <t>دکتر مریم</t>
  </si>
  <si>
    <t>31/3/1396</t>
  </si>
  <si>
    <t>سود خرداد ماه باید تقسیم شود</t>
  </si>
  <si>
    <t>سود خرداد 96</t>
  </si>
  <si>
    <t>با احتساب حقوق خرداد</t>
  </si>
  <si>
    <t>4/4/1396</t>
  </si>
  <si>
    <t>نهار و ایاب ذهاب و عید رمضان علی</t>
  </si>
  <si>
    <t>نهار و ایاب ذهاب و عید رمضان مریم</t>
  </si>
  <si>
    <t>نهار و ایاب ذهاب و عیدی رمضان مریم که به کارت ایلیا رفت</t>
  </si>
  <si>
    <t>5/4/1396</t>
  </si>
  <si>
    <t>حقوق خرداد مریم</t>
  </si>
  <si>
    <t>فیلتر دستگاه تصفیه آب</t>
  </si>
  <si>
    <t>کل منابع</t>
  </si>
  <si>
    <t>منابع نقدی</t>
  </si>
  <si>
    <t>16/4/1396</t>
  </si>
  <si>
    <t>18/4/1396</t>
  </si>
  <si>
    <t>خرید تخم مرغ و ... از جامبو</t>
  </si>
  <si>
    <t>19/4/1396</t>
  </si>
  <si>
    <t>دستی برای دکتر رفتن دادم</t>
  </si>
  <si>
    <t>20/4/1396</t>
  </si>
  <si>
    <t>از عابربانک گرفتم، 150 بابت بخشی از 30 کیلو برنج</t>
  </si>
  <si>
    <t>21/4/1396</t>
  </si>
  <si>
    <t>بیمه ماشین</t>
  </si>
  <si>
    <t>شیر خشک و قطره آهن</t>
  </si>
  <si>
    <t>22/4/1396</t>
  </si>
  <si>
    <t>شروع خرید</t>
  </si>
  <si>
    <t>26/4/1396</t>
  </si>
  <si>
    <t>مابقی پول برنج 195</t>
  </si>
  <si>
    <t>تاریخ 25/4 برای دکتر</t>
  </si>
  <si>
    <t>28/4/1396</t>
  </si>
  <si>
    <t>از کارت مسکن یاران مریم</t>
  </si>
  <si>
    <t>انتقال به کارت ایلیا 50 میلیون و 200 هم نقدی</t>
  </si>
  <si>
    <t>روز 28 تیر از کارت مسکن یاران مریم گرفتم</t>
  </si>
  <si>
    <t>برای آرایشگاه دادم</t>
  </si>
  <si>
    <t>از کارت مسکن یاران نقدی گرفتم 28 تیر</t>
  </si>
  <si>
    <t>29/4/1396</t>
  </si>
  <si>
    <t>انتقال به کارت ایلیا 12 میلیون و 200 هم نقدی</t>
  </si>
  <si>
    <t>31/4/1396</t>
  </si>
  <si>
    <t>حقوق تیر مریم</t>
  </si>
  <si>
    <t>حقوق تیر علی</t>
  </si>
  <si>
    <t>با احتساب حقوق تیر</t>
  </si>
  <si>
    <t>1/5/1396</t>
  </si>
  <si>
    <t>سود تیر</t>
  </si>
  <si>
    <t>هشتصد به کارت ملت علی و 200 نقدی گرفتم (دقیق کردن حساب)</t>
  </si>
  <si>
    <t>1/6/1396</t>
  </si>
  <si>
    <t>1/7/1396</t>
  </si>
  <si>
    <t>1/8/1396</t>
  </si>
  <si>
    <t>1/9/1396</t>
  </si>
  <si>
    <t>15/7/1396</t>
  </si>
  <si>
    <t>کفش ایلیا و پاپیون و جوراب</t>
  </si>
  <si>
    <t>2/5/1396</t>
  </si>
  <si>
    <t>طبق گفته مریم سارا برای لباس کارت کشید</t>
  </si>
  <si>
    <t>مریم خرید کرد لباس برای عروسی 288 , 50</t>
  </si>
  <si>
    <t>4/5/1396</t>
  </si>
  <si>
    <t xml:space="preserve">مریم آرایشگاه </t>
  </si>
  <si>
    <t>هرزگرد تسمه دینام</t>
  </si>
  <si>
    <t>15/4/1396</t>
  </si>
  <si>
    <t>آرایشگاه و 8 دستی دادم</t>
  </si>
  <si>
    <t>تاریخ 8 مرداد از کارت مسکن یاران برداشتم</t>
  </si>
  <si>
    <t>8/5/1396</t>
  </si>
  <si>
    <t>تاریخ 12 مرداد از کارت مسکن یاران گرفتم</t>
  </si>
  <si>
    <t>12/5/1396</t>
  </si>
  <si>
    <t>مریم گلدون و بشقاب و فانوس خرید</t>
  </si>
  <si>
    <t>14/5/1396</t>
  </si>
  <si>
    <t>انتقال به کارت بانک سپه جهت رهن</t>
  </si>
  <si>
    <t>15/3/1396</t>
  </si>
  <si>
    <t>باطری</t>
  </si>
  <si>
    <t>تاریخ 16 مرداد خرید از جامبو</t>
  </si>
  <si>
    <t>16/5/1396</t>
  </si>
  <si>
    <t>خرید از جامبو</t>
  </si>
  <si>
    <t>انتقال به کارت حاج ایوب بابت بخشی از فرش</t>
  </si>
  <si>
    <t>حساب سارا</t>
  </si>
  <si>
    <t>17/5/1396</t>
  </si>
  <si>
    <t>علی 200 از عابر بانک و 134 گوشت</t>
  </si>
  <si>
    <t>تاریخ 17 مرداد 200 عابر و 134 گوشت</t>
  </si>
  <si>
    <t>23/5/1396</t>
  </si>
  <si>
    <t>22/5/1396</t>
  </si>
  <si>
    <t>کرم ضد آفتاب مریم</t>
  </si>
  <si>
    <t>پول روغن حیوانی</t>
  </si>
  <si>
    <t>علی دستی از عابربانک</t>
  </si>
  <si>
    <t>تاریخ 23/5 300 روغن و100 نقدی</t>
  </si>
  <si>
    <t>15/5/1396</t>
  </si>
  <si>
    <t>28/5/1396</t>
  </si>
  <si>
    <t>سود تیرماه</t>
  </si>
  <si>
    <t>سود مرداد</t>
  </si>
  <si>
    <t>تاریخ 28/5 از عابربانک</t>
  </si>
  <si>
    <t>انتقال 42 به کارت سارا و 4 به کارت مریم</t>
  </si>
  <si>
    <t>روز 1 شهریور از کارت ملت علی به کارت یاران مریم</t>
  </si>
  <si>
    <t>31/5/1396</t>
  </si>
  <si>
    <t>از کارت ایلیا</t>
  </si>
  <si>
    <t>از کارت ملت مریم حقوق مرداد</t>
  </si>
  <si>
    <t>از کارت ملت علی حقوق مرداد</t>
  </si>
  <si>
    <t>روز 4 شهریور از کارت یاران گرفتم</t>
  </si>
  <si>
    <t>4/6/1396</t>
  </si>
  <si>
    <t>7/6/1396</t>
  </si>
  <si>
    <t>علی به کارت داریوش ریخت</t>
  </si>
  <si>
    <t>دو به داریوش و 200 نقدی از عابربانک 7/6/96</t>
  </si>
  <si>
    <t>طلب علی(500 خانه، 500 علیرضا)</t>
  </si>
  <si>
    <t>11/6/1396</t>
  </si>
  <si>
    <t>داریوش به کارت ریخت</t>
  </si>
  <si>
    <t>19/6/1396</t>
  </si>
  <si>
    <t>انتقال به کارت حاج ایوب بابت خرید فرش</t>
  </si>
  <si>
    <t>صد نقد و 41450 بابت قبوض</t>
  </si>
  <si>
    <t>داریوش بدهی را داد</t>
  </si>
  <si>
    <t>19/6/1396 141950 تومن 100 نقد و 41950 قبض</t>
  </si>
  <si>
    <t>22/6/1396</t>
  </si>
  <si>
    <t>کارت ملت علی 700 و 200 نقدی</t>
  </si>
  <si>
    <t>از مسکن یاران 900 گرفتم و 100 به کارت مریم ریختم 22/6</t>
  </si>
  <si>
    <t>26/6/1396</t>
  </si>
  <si>
    <t>سود شهریور</t>
  </si>
  <si>
    <t>سود شهریور 96</t>
  </si>
  <si>
    <t>دستی به مریم دادم. تولد سارا</t>
  </si>
  <si>
    <t>شماره 6280231481238847</t>
  </si>
  <si>
    <t>IR190140040000410021971552</t>
  </si>
  <si>
    <t>روز 1 مهر از کارت ملت علی برای ثبت نام هیات علمی</t>
  </si>
  <si>
    <t>2/7/1396</t>
  </si>
  <si>
    <t>حقوق شهریور علی</t>
  </si>
  <si>
    <t>5/7/1396</t>
  </si>
  <si>
    <t>10/7/1396</t>
  </si>
  <si>
    <t>11/7/1396</t>
  </si>
  <si>
    <t>4/7/1396</t>
  </si>
  <si>
    <t>حقوق شهریور مریم</t>
  </si>
  <si>
    <t>با احتساب حقوق شهریور</t>
  </si>
  <si>
    <t>بلبرینگ چرخ جلو سمت شاگرد</t>
  </si>
  <si>
    <t>13/7/1396</t>
  </si>
  <si>
    <t>16/7/1396</t>
  </si>
  <si>
    <t>حواله اچ سی علی مهر انصراف</t>
  </si>
  <si>
    <t xml:space="preserve">حقوق </t>
  </si>
  <si>
    <t>سود موجودی از سال قبل و سود حقوق</t>
  </si>
  <si>
    <t>پول پیش خانه</t>
  </si>
  <si>
    <t>کل منابع و پول پیش خانه</t>
  </si>
  <si>
    <t>مجموع غیر از پول پیش</t>
  </si>
  <si>
    <t>مجموع کل</t>
  </si>
  <si>
    <t>با احتساب حقوق مرداد (افزایش 6 میلیونی پول پیش)</t>
  </si>
  <si>
    <t>18/7/1396</t>
  </si>
  <si>
    <t>24/7/1396</t>
  </si>
  <si>
    <t>به حساب مسکن یاران مریم</t>
  </si>
  <si>
    <t>23/7/1396</t>
  </si>
  <si>
    <t>انتقال به مسکن یاران مریم</t>
  </si>
  <si>
    <t>روز 23 مهر 10 نقدی دادم</t>
  </si>
  <si>
    <t>انتقال از حساب سارا</t>
  </si>
  <si>
    <t>انتقال از حساب ایلیا</t>
  </si>
  <si>
    <t>انتقال به حساب حاج ایوب</t>
  </si>
  <si>
    <t>25/7/1396</t>
  </si>
  <si>
    <t>آبلیمو</t>
  </si>
  <si>
    <t>گوشت</t>
  </si>
  <si>
    <t>طلب علی از مریم</t>
  </si>
  <si>
    <t>با احتساب حقوق مهر</t>
  </si>
  <si>
    <t>30/7/1396</t>
  </si>
  <si>
    <t>حقوق مهرماه علی</t>
  </si>
  <si>
    <t>سود مهرماه</t>
  </si>
  <si>
    <t>حواله اچ سی علی آبان انصراف</t>
  </si>
  <si>
    <t>حقوق مهر مریم</t>
  </si>
  <si>
    <t>سود مهر</t>
  </si>
  <si>
    <t>سارا از کارت استفاده کرد</t>
  </si>
  <si>
    <t>مریم گویا از کارت استفاده کرده</t>
  </si>
  <si>
    <t>تعویض میل ماهکهای کوچک</t>
  </si>
  <si>
    <t>4/8/1396</t>
  </si>
  <si>
    <t>بلبرینگ چرخ جلو سمت راننده</t>
  </si>
  <si>
    <t>1/10/1394</t>
  </si>
  <si>
    <t>6/8/1396</t>
  </si>
  <si>
    <t>چک حاج ایوب</t>
  </si>
  <si>
    <t>5/8/1396</t>
  </si>
  <si>
    <t>ده نقدی و 1.2 به مونا</t>
  </si>
  <si>
    <t>از کارت ملت گلدون خرید</t>
  </si>
  <si>
    <t>حواله اچ سی مریم</t>
  </si>
  <si>
    <t>مریم</t>
  </si>
  <si>
    <t>حساب یاران</t>
  </si>
  <si>
    <t>چک</t>
  </si>
  <si>
    <t>نقد</t>
  </si>
  <si>
    <t>9/8/1396</t>
  </si>
  <si>
    <t>تفاوت 24.2952 و 24 حساب شده در امتیازات</t>
  </si>
  <si>
    <t>احتمال اوراق مسکن یاران</t>
  </si>
  <si>
    <t>احتمال اوراق مسکن سارا</t>
  </si>
  <si>
    <t>طلب از علی</t>
  </si>
  <si>
    <t>هزار هزینه چک و 200 از عابربانک</t>
  </si>
  <si>
    <t>14/8/1396</t>
  </si>
  <si>
    <t>علی از عابر گرفت</t>
  </si>
  <si>
    <t>طلب از مونا</t>
  </si>
  <si>
    <t>مریم دکتر</t>
  </si>
  <si>
    <t>مریم دارو</t>
  </si>
  <si>
    <t>مریم دکتر فرحت و دارو مادرش</t>
  </si>
  <si>
    <t>روز 17 آبان برای بیمارستان دادم به مریم</t>
  </si>
  <si>
    <t>17/8/1396</t>
  </si>
  <si>
    <t>مریم نقدی از کیفم برداشت و پیرهن خرید</t>
  </si>
  <si>
    <t>21/8/1396</t>
  </si>
  <si>
    <t>24/8/1396</t>
  </si>
  <si>
    <t>22/8/1396</t>
  </si>
  <si>
    <t>مریم به سارا کارت به کارت کرد</t>
  </si>
  <si>
    <t>مریم پوشک به زلزله زده گان</t>
  </si>
  <si>
    <t>سود آبان ماه</t>
  </si>
  <si>
    <t>کل سود آبان</t>
  </si>
  <si>
    <t>سود آبان</t>
  </si>
  <si>
    <t>30/8/1396</t>
  </si>
  <si>
    <t>با حقوق آبان</t>
  </si>
  <si>
    <t>4/9/1396</t>
  </si>
  <si>
    <t>حقوق آبان علی</t>
  </si>
  <si>
    <t>حقوق آبان مریم</t>
  </si>
  <si>
    <t>مبلغ 120 دادم و 110 گرفتم</t>
  </si>
  <si>
    <t>روغن گیربکس</t>
  </si>
  <si>
    <t>10/1/1396</t>
  </si>
  <si>
    <t>پلوس سمت شاگرد</t>
  </si>
  <si>
    <t>صفحه کلاچ</t>
  </si>
  <si>
    <t>نشتی گیری روغن ریزی</t>
  </si>
  <si>
    <t>کوبش فنر عقب</t>
  </si>
  <si>
    <t>چراغ جلو شاگرد</t>
  </si>
  <si>
    <t>سال 97</t>
  </si>
  <si>
    <t>بیمه</t>
  </si>
  <si>
    <t>نقد به مریم دادم</t>
  </si>
  <si>
    <t>11/9/1396</t>
  </si>
  <si>
    <t>شمع</t>
  </si>
  <si>
    <t>13/9/1396</t>
  </si>
  <si>
    <t>10/10/1394</t>
  </si>
  <si>
    <t>19/9/1396</t>
  </si>
  <si>
    <t>18/9/1396</t>
  </si>
  <si>
    <t>مریم برای سارا کارت به کارت کرد</t>
  </si>
  <si>
    <t>شارژ تلفن حاج خانوم</t>
  </si>
  <si>
    <t xml:space="preserve">دستی دادم </t>
  </si>
  <si>
    <t>22/9/1396</t>
  </si>
  <si>
    <t>کاظم کارت به کارت کرد. 3 از 15 چک 20 ام</t>
  </si>
  <si>
    <t>25/9/1396</t>
  </si>
  <si>
    <t>26/9/1396</t>
  </si>
  <si>
    <t>کاظم ریخت. 6 از 15 چک 20 ام. 1.7 مانده</t>
  </si>
  <si>
    <t>حاجی ریخت. 8 از 15 چک 20 ام</t>
  </si>
  <si>
    <t>حاجی ریخت. 9.3 از 15 چک 20 ام</t>
  </si>
  <si>
    <t>28/9/1396</t>
  </si>
  <si>
    <t>کاظم ریخت. 11 از 15 چک 20 ام</t>
  </si>
  <si>
    <t>29/9/1396</t>
  </si>
  <si>
    <t>از عابر گرفتم و به مریم دادم.</t>
  </si>
  <si>
    <t>30/9/1396</t>
  </si>
  <si>
    <t>قالپاق روغن</t>
  </si>
  <si>
    <t>سود آذر</t>
  </si>
  <si>
    <t>سود آذر 96</t>
  </si>
  <si>
    <t>با حقوق آذر</t>
  </si>
  <si>
    <t>3/10/1396</t>
  </si>
  <si>
    <t>بخشی از حقوق آذر مریم</t>
  </si>
  <si>
    <t>از حقوق آذر مریم</t>
  </si>
  <si>
    <t>حقوق آذر علی</t>
  </si>
  <si>
    <t>6/10/1396</t>
  </si>
  <si>
    <t>ماهی</t>
  </si>
  <si>
    <t>گوشت گاو و گوسفند</t>
  </si>
  <si>
    <t>8/10/1396</t>
  </si>
  <si>
    <t>ثبت نام کارت هوشمند ملی</t>
  </si>
  <si>
    <t>قرص ویتامین E</t>
  </si>
  <si>
    <t>9/10/1396</t>
  </si>
  <si>
    <t>شیر خشک و قرص ویتامین E</t>
  </si>
  <si>
    <t>10/10/1396</t>
  </si>
  <si>
    <t>حاج ایوب ریخت بابت چک 20/9 الان 13 از 15</t>
  </si>
  <si>
    <t>12/10/1396</t>
  </si>
  <si>
    <t>دستی دادم 14/10/96</t>
  </si>
  <si>
    <t>14/10/1396</t>
  </si>
  <si>
    <t>کارت هوشمند ملی</t>
  </si>
  <si>
    <t>نقد دادم</t>
  </si>
  <si>
    <t>16/10/1396</t>
  </si>
  <si>
    <t>از طرف حاجی بابت بدهی چک</t>
  </si>
  <si>
    <t>16/10/1396+</t>
  </si>
  <si>
    <t>17/10/1396</t>
  </si>
  <si>
    <t>پنج نقدی و 90 پول برنج برای حسین</t>
  </si>
  <si>
    <t>18/10/1396</t>
  </si>
  <si>
    <t>از کارت ایلیا ریختم</t>
  </si>
  <si>
    <t>دو به کارت علی و 200 نقد</t>
  </si>
  <si>
    <t>خرید از شهروند و ایساکو</t>
  </si>
  <si>
    <t>دستی دادم برای دکتر</t>
  </si>
  <si>
    <t>24/10/1396</t>
  </si>
  <si>
    <t>26/10/1396</t>
  </si>
  <si>
    <t>27/10/1396</t>
  </si>
  <si>
    <t>پول پسته</t>
  </si>
  <si>
    <t>پول پسته 5 کیلو</t>
  </si>
  <si>
    <t>30/10/1396</t>
  </si>
  <si>
    <t>علی ریخت. 3 از دهی 10.5</t>
  </si>
  <si>
    <t>شماره 6280231488671917</t>
  </si>
  <si>
    <t>327300 تومن معلون نیست از کجا آمده</t>
  </si>
  <si>
    <t>30900 تومن معلوم نیست کجاست</t>
  </si>
  <si>
    <t>سود دی ماه 96</t>
  </si>
  <si>
    <t>سود دی</t>
  </si>
  <si>
    <t>با حقوق دی</t>
  </si>
  <si>
    <t>1/11/1396</t>
  </si>
  <si>
    <t>دو و نیم از حقوق و 3 از حاج ایوب 3 از 21</t>
  </si>
  <si>
    <t>2/11/1396</t>
  </si>
  <si>
    <t>سه از حاج ایوب 6 از 21</t>
  </si>
  <si>
    <t>3/11/1396</t>
  </si>
  <si>
    <t>سه از حاج ایوب 9 از 21</t>
  </si>
  <si>
    <t>4/11/1396</t>
  </si>
  <si>
    <t>سه از حاج ایوب 12 از 21</t>
  </si>
  <si>
    <t>5/11/1396</t>
  </si>
  <si>
    <t>سه از حاج ایوب 15 از 21</t>
  </si>
  <si>
    <t>6/11/1396</t>
  </si>
  <si>
    <t>سه از حاج ایوب 18 از 21</t>
  </si>
  <si>
    <t>8/11/1396</t>
  </si>
  <si>
    <t>خرید جامبو</t>
  </si>
  <si>
    <t>14/11/1396</t>
  </si>
  <si>
    <t>خرید کورش</t>
  </si>
  <si>
    <t>18/11/1396</t>
  </si>
  <si>
    <t xml:space="preserve"> معاینه فنی</t>
  </si>
  <si>
    <t>شیشه جلو 206</t>
  </si>
  <si>
    <t>مانیتور ال جی</t>
  </si>
  <si>
    <t>20/11/1396</t>
  </si>
  <si>
    <t>23/11/1396</t>
  </si>
  <si>
    <t>برای دکتر رفتن دادم</t>
  </si>
  <si>
    <t>تو نهار خوری سازمان دادم</t>
  </si>
  <si>
    <t>از طرف حاجی بابت چک 15 میلیونی</t>
  </si>
  <si>
    <t>9/11/1396</t>
  </si>
  <si>
    <t>از کارت رضا بایت چک 19 از 21</t>
  </si>
  <si>
    <t>یک تومن از چک حاجی و این مبلغ به رضا به عنوان 2 عدد سکه قرض</t>
  </si>
  <si>
    <t>طلب رضا</t>
  </si>
  <si>
    <t>30/11/1396</t>
  </si>
  <si>
    <t>علی از حقوق بهمن ریخت بخشی اربدهی 3 از 7.5</t>
  </si>
  <si>
    <t>کل سود دی</t>
  </si>
  <si>
    <t>1/12/1396</t>
  </si>
  <si>
    <t>از کارت ملت ریختم</t>
  </si>
  <si>
    <t>8/12/1396</t>
  </si>
  <si>
    <t>خرید با کارت</t>
  </si>
  <si>
    <t>09/12/1396</t>
  </si>
  <si>
    <t>با حقوق بهمن</t>
  </si>
  <si>
    <t>از کارت ملت مریم</t>
  </si>
  <si>
    <t>سود بهمن 96</t>
  </si>
  <si>
    <t>20/12/1396</t>
  </si>
  <si>
    <t>مریم به کارت سارا ریخت</t>
  </si>
  <si>
    <t>دستی 154 دادم و 52 از کیف مریم برداشتم</t>
  </si>
  <si>
    <t xml:space="preserve"> 30/9/1396</t>
  </si>
  <si>
    <t xml:space="preserve"> 23/11/1396</t>
  </si>
  <si>
    <t>24/11/1396</t>
  </si>
  <si>
    <t>25/11/1396</t>
  </si>
  <si>
    <t>برداشت از عابر</t>
  </si>
  <si>
    <t>سود بهمن</t>
  </si>
  <si>
    <t>2/12/1396</t>
  </si>
  <si>
    <t xml:space="preserve"> 5/12/1396</t>
  </si>
  <si>
    <t>10/12/1396</t>
  </si>
  <si>
    <t>13/12/1396</t>
  </si>
  <si>
    <t>خرید کباب</t>
  </si>
  <si>
    <t>15/12/1396</t>
  </si>
  <si>
    <t>17/12/1396</t>
  </si>
  <si>
    <t>شارژ زمستان آپارتمان</t>
  </si>
  <si>
    <t>17/12/1395</t>
  </si>
  <si>
    <t>19/12/1396</t>
  </si>
  <si>
    <t>سود</t>
  </si>
  <si>
    <t>کارمزد اس ام اس</t>
  </si>
  <si>
    <t>احتمال اوراق ایلیا</t>
  </si>
  <si>
    <t>21/12/1396</t>
  </si>
  <si>
    <t>انتقال از بن کارت ملت مریم</t>
  </si>
  <si>
    <t>خریدهای مختلف</t>
  </si>
  <si>
    <t>علی از بن کارتش ریخت</t>
  </si>
  <si>
    <t>از بن کارت علی</t>
  </si>
  <si>
    <t>از کارت بانک سینا ریختم</t>
  </si>
  <si>
    <t xml:space="preserve"> 20/12/1396</t>
  </si>
  <si>
    <t xml:space="preserve">شیر خشک </t>
  </si>
  <si>
    <t>اسباب بازی ایلیا از صالح آباد</t>
  </si>
  <si>
    <t>22/12/1396</t>
  </si>
  <si>
    <t>سهام</t>
  </si>
  <si>
    <t>از عابر و خرید میدون و رفاه</t>
  </si>
  <si>
    <t>برنامه سال 97</t>
  </si>
  <si>
    <t>افزایش پول پیش</t>
  </si>
  <si>
    <t>حقوق</t>
  </si>
  <si>
    <t>خرج</t>
  </si>
  <si>
    <t>موجودی از سال قبل شامل طلب ها</t>
  </si>
  <si>
    <t>26/12/1396</t>
  </si>
  <si>
    <t>23/12/1396</t>
  </si>
  <si>
    <t>نام سهام</t>
  </si>
  <si>
    <t>تعداد</t>
  </si>
  <si>
    <t>سخاب 7</t>
  </si>
  <si>
    <t>تاریخ خرید</t>
  </si>
  <si>
    <t>قیمت کل</t>
  </si>
  <si>
    <t>قیمت فعلی</t>
  </si>
  <si>
    <t>موضوع</t>
  </si>
  <si>
    <t>سود بانکی</t>
  </si>
  <si>
    <t>جمع کل</t>
  </si>
  <si>
    <t>سود خواب پول</t>
  </si>
  <si>
    <t>قیمت فروش سر به سر</t>
  </si>
  <si>
    <t>اشاد6</t>
  </si>
  <si>
    <t>عملیات</t>
  </si>
  <si>
    <t>فروش</t>
  </si>
  <si>
    <t>قیمت</t>
  </si>
  <si>
    <t xml:space="preserve">درصد هزینه </t>
  </si>
  <si>
    <t>هزینه</t>
  </si>
  <si>
    <t>سود خالص</t>
  </si>
  <si>
    <t>اشاد5</t>
  </si>
  <si>
    <t>نرخ سود روز شمار</t>
  </si>
  <si>
    <t>قیمت عرضه فعلی</t>
  </si>
  <si>
    <t>دارایی</t>
  </si>
  <si>
    <t>نقد در حساب کارگزاری</t>
  </si>
  <si>
    <t>نام</t>
  </si>
  <si>
    <t>اشاد3</t>
  </si>
  <si>
    <t>اشاد4</t>
  </si>
  <si>
    <t>اشاد7</t>
  </si>
  <si>
    <t>اشاد8</t>
  </si>
  <si>
    <t>اشاد9</t>
  </si>
  <si>
    <t>اخزا601</t>
  </si>
  <si>
    <t>اخزا602</t>
  </si>
  <si>
    <t>اخزا603</t>
  </si>
  <si>
    <t>اخزا604</t>
  </si>
  <si>
    <t>اخزا605</t>
  </si>
  <si>
    <t>اخزا606</t>
  </si>
  <si>
    <t>اخزا607</t>
  </si>
  <si>
    <t>تاریخ سررسید</t>
  </si>
  <si>
    <t>افاد1</t>
  </si>
  <si>
    <t>نرخ سود</t>
  </si>
  <si>
    <t xml:space="preserve">بازه پرداخت سود </t>
  </si>
  <si>
    <t>20/6/1400</t>
  </si>
  <si>
    <t>صایتل2</t>
  </si>
  <si>
    <t>18/12/1397</t>
  </si>
  <si>
    <t>13/7/1398</t>
  </si>
  <si>
    <t>30/7/1398</t>
  </si>
  <si>
    <t>22/9/1398</t>
  </si>
  <si>
    <t>1/12/1398</t>
  </si>
  <si>
    <t>30/10/1398</t>
  </si>
  <si>
    <t>9/9/1399</t>
  </si>
  <si>
    <t>28/12/1397</t>
  </si>
  <si>
    <t>قیمت اسمی در سررسید</t>
  </si>
  <si>
    <t>اخزا608</t>
  </si>
  <si>
    <t>اخزا609</t>
  </si>
  <si>
    <t>اخزا610</t>
  </si>
  <si>
    <t>اخزا611</t>
  </si>
  <si>
    <t>اخزا612</t>
  </si>
  <si>
    <t>اخزا613</t>
  </si>
  <si>
    <t>اخزا614</t>
  </si>
  <si>
    <t>اخزا615</t>
  </si>
  <si>
    <t>8/5/1397</t>
  </si>
  <si>
    <t>12/6/1397</t>
  </si>
  <si>
    <t>10/7/1397</t>
  </si>
  <si>
    <t>20/8/1398</t>
  </si>
  <si>
    <t>26/9/1397</t>
  </si>
  <si>
    <t>22/7/1398</t>
  </si>
  <si>
    <t>11/4/1398</t>
  </si>
  <si>
    <t>10/10/1397</t>
  </si>
  <si>
    <t>صایتل 902</t>
  </si>
  <si>
    <t>14/2/1399</t>
  </si>
  <si>
    <t>11/9/1398</t>
  </si>
  <si>
    <t>13/9/1397</t>
  </si>
  <si>
    <t>14/11/1398</t>
  </si>
  <si>
    <t>16/10/1398</t>
  </si>
  <si>
    <t>ماه تا سررسید</t>
  </si>
  <si>
    <t>تاریخ مرجع</t>
  </si>
  <si>
    <t>27/12/1398</t>
  </si>
  <si>
    <t>اشاد1</t>
  </si>
  <si>
    <t>26/10/1400</t>
  </si>
  <si>
    <t>نرخ سود اوراق</t>
  </si>
  <si>
    <t>قیمت اسمی</t>
  </si>
  <si>
    <t>اخزا 604</t>
  </si>
  <si>
    <t>برای تولد کیانا</t>
  </si>
  <si>
    <t>علی به حساب بورس خودش ریخت</t>
  </si>
  <si>
    <t>علی به حساب بوس خودش ریخت</t>
  </si>
  <si>
    <t>علی 3 و مریم 2.85 حقوق اسفند</t>
  </si>
  <si>
    <t xml:space="preserve"> 30/11/1396</t>
  </si>
  <si>
    <t>سود بمهن منهای خورده خرجی</t>
  </si>
  <si>
    <t>سود مریم</t>
  </si>
  <si>
    <t>مجموع سود علی</t>
  </si>
  <si>
    <t>مجموع سود مریم</t>
  </si>
  <si>
    <t>27/12/1396</t>
  </si>
  <si>
    <t>کارگزاری مفید</t>
  </si>
  <si>
    <t xml:space="preserve">خرید </t>
  </si>
  <si>
    <t>سهم علی از سود بانکی</t>
  </si>
  <si>
    <t>سهم مریم از سود بانکی</t>
  </si>
  <si>
    <t>جمع کل علی</t>
  </si>
  <si>
    <t>جمع کل مریم</t>
  </si>
  <si>
    <t>اصل پول و سود سهام</t>
  </si>
  <si>
    <t>سود علاوه بر سود بانکی</t>
  </si>
  <si>
    <t>از بن کارت ملت مریم نقدی گرفتم</t>
  </si>
  <si>
    <t>از بن کارت ملت مریم</t>
  </si>
  <si>
    <t>28/12/1396</t>
  </si>
  <si>
    <t>از بن کارت ملت علی</t>
  </si>
  <si>
    <t>شیشه میز حاج خانوم</t>
  </si>
  <si>
    <t>سود روزهای گذشته</t>
  </si>
  <si>
    <t>سه ماهه</t>
  </si>
  <si>
    <t>شش ماهه</t>
  </si>
  <si>
    <t>29/12/1396</t>
  </si>
  <si>
    <t xml:space="preserve">سود اسفند ماه </t>
  </si>
  <si>
    <t>سود اسفند</t>
  </si>
  <si>
    <t>کل سود فروردین</t>
  </si>
  <si>
    <t>24/12/1396</t>
  </si>
  <si>
    <t>بنزین</t>
  </si>
  <si>
    <t>1/1/1397</t>
  </si>
  <si>
    <t>روز تا سر رسید</t>
  </si>
  <si>
    <t>http://www.ifb.ir/MFI/qualifiedMFI.aspx</t>
  </si>
  <si>
    <t>اوراق شرایط خاص</t>
  </si>
  <si>
    <t>گندم 2</t>
  </si>
  <si>
    <t>20/8/1400</t>
  </si>
  <si>
    <t>اگر با قیمت خرید سود بانکی بگیرم</t>
  </si>
  <si>
    <t>اصلاح سود</t>
  </si>
  <si>
    <t>آجیل و شیرینی</t>
  </si>
  <si>
    <t>تعداد روز از تاریخ مرجع</t>
  </si>
  <si>
    <t>تعدادروز</t>
  </si>
  <si>
    <t>ارزش فروش</t>
  </si>
  <si>
    <t>کرم از دیجی کالا</t>
  </si>
  <si>
    <t>2/1/1397</t>
  </si>
  <si>
    <t>گوشت و ... از جامبو</t>
  </si>
  <si>
    <t>از 22/12/96 تا 1/1/97</t>
  </si>
  <si>
    <t>از 1/1/97 تا امروز</t>
  </si>
  <si>
    <t>در مواردی که بازار پول لازم است در 2 روز آخر سهام مثبت میشود</t>
  </si>
  <si>
    <t>با 20 درصد بفروش و با 21.4 بخر</t>
  </si>
  <si>
    <t>در خرید اگر 1000 تومن زیر قیمت میفروختند سریع بخر وگرنه بیا بالای صف خرید</t>
  </si>
  <si>
    <t>در فروش اگر 1000 تومن بالای قیمت مخریدند سریع بفروش وگرنه بیا بالای صف فروش</t>
  </si>
  <si>
    <t>برای نوسان گیری نهایت 500 تومن از قیمت خرید منطقی بالاتر بخر و یا 500 تومن از قیمت فروش منطقی ارزانتر بفروش به شرط عدم ضرر</t>
  </si>
  <si>
    <t>4/1/1397</t>
  </si>
  <si>
    <t>روغن و کرم از دیجی کالا</t>
  </si>
  <si>
    <t>با حقوق اسفند 7 تومن رفاهی دادند و 4.8 هم احتمال اوراق تسه</t>
  </si>
  <si>
    <t>5/1/1397</t>
  </si>
  <si>
    <t>6/1/1397</t>
  </si>
  <si>
    <t>IR350140040000410023079974</t>
  </si>
  <si>
    <t>سارا یاران</t>
  </si>
  <si>
    <t>شماره 6280231479315722</t>
  </si>
  <si>
    <t>شیر</t>
  </si>
  <si>
    <t>IR750140040000410021484671</t>
  </si>
  <si>
    <t>18/01/1395</t>
  </si>
  <si>
    <t>8/1/1397</t>
  </si>
  <si>
    <t>از حساب ملت علی بابت بورس</t>
  </si>
  <si>
    <t>نقدی دادم بابت عیدی دادن به بچه های قم</t>
  </si>
  <si>
    <t>نقدی دادم بابت عیدی دادن به خانواده</t>
  </si>
  <si>
    <t>قیمت اولیه</t>
  </si>
  <si>
    <t>تضمین</t>
  </si>
  <si>
    <t>قیمت فروش 8 ماهه</t>
  </si>
  <si>
    <t>قیمت فروش 14 ماهه</t>
  </si>
  <si>
    <t>جمع خرید و وجه تضمین 8 ماهه</t>
  </si>
  <si>
    <t>جمع خرید و وجه تضمین 14 ماهه</t>
  </si>
  <si>
    <t>جمع فروش و وجه تضمین 8 ماهه</t>
  </si>
  <si>
    <t>جمع فورش و جه تضمین 14 ماهه</t>
  </si>
  <si>
    <t>سود 8 ماهه</t>
  </si>
  <si>
    <t>سود 14 ماهه</t>
  </si>
  <si>
    <t>درصد سود سالیانه 8 ماهه</t>
  </si>
  <si>
    <t>درصد سود سالیانه 14 ماهه</t>
  </si>
  <si>
    <t>حسین</t>
  </si>
  <si>
    <t>رضا</t>
  </si>
  <si>
    <t>چک مریم</t>
  </si>
  <si>
    <t>15/1/1397</t>
  </si>
  <si>
    <t>تعداد روز از تراکنش</t>
  </si>
  <si>
    <t>16/1/1397</t>
  </si>
  <si>
    <t>به حساب ایلیا بابت خرید سکه</t>
  </si>
  <si>
    <t>بابت خرید سکه</t>
  </si>
  <si>
    <t>به حساب ایلیا بابت سکه</t>
  </si>
  <si>
    <t>از حساب سارا بابت خرید سکه</t>
  </si>
  <si>
    <t>از حساب یاران مریم بابت سکه</t>
  </si>
  <si>
    <t>به بانک ملی علی بابت سکه</t>
  </si>
  <si>
    <t>سکه</t>
  </si>
  <si>
    <t>سارا</t>
  </si>
  <si>
    <t>رضا حسین زاده</t>
  </si>
  <si>
    <t>زمان خرید اوراق تسه تعطیلات فروردین</t>
  </si>
  <si>
    <t>فهرست انبارهای سکه</t>
  </si>
  <si>
    <t>نام انبار</t>
  </si>
  <si>
    <t>نام انباردار</t>
  </si>
  <si>
    <t>نماد معاملاتی</t>
  </si>
  <si>
    <t>آدرس انبار</t>
  </si>
  <si>
    <t>خزانه پردیس بانک رفاه کارگران</t>
  </si>
  <si>
    <t>بانک رفاه کارگران</t>
  </si>
  <si>
    <t>گکه 71201</t>
  </si>
  <si>
    <t>تهران، ونک، خیابان ملاصدرا، خیابان میرزای شیرازی شمالی، شماره 186</t>
  </si>
  <si>
    <t>خزانه بانک سامان</t>
  </si>
  <si>
    <t>سید احمد طاهری بهبهانی</t>
  </si>
  <si>
    <t>سکه9812-03</t>
  </si>
  <si>
    <t>تهران خیابان ولیعصر نرسیده به چهارراه پارک وی نبش کوچه ترکش دوز پلاک 2</t>
  </si>
  <si>
    <t>از عابر یاران و سیدالشهدا 400 گرفتم و 50 بابت گل و شیرینی و 250 بابت هدیه تولد مها</t>
  </si>
  <si>
    <t xml:space="preserve">از عابربانک </t>
  </si>
  <si>
    <t>فیلتر بنزین</t>
  </si>
  <si>
    <t>10/1/1397</t>
  </si>
  <si>
    <t>درصد سود 8 ماهه</t>
  </si>
  <si>
    <t>خریذ</t>
  </si>
  <si>
    <t>کارمزد اشاد</t>
  </si>
  <si>
    <t>کارمزد اخزا</t>
  </si>
  <si>
    <t>کارمزد سکه</t>
  </si>
  <si>
    <t>18/1/1397</t>
  </si>
  <si>
    <t>علی به بورس برد</t>
  </si>
  <si>
    <t>19/1/1397</t>
  </si>
  <si>
    <t>بورس</t>
  </si>
  <si>
    <t>طلب بورس از علی</t>
  </si>
  <si>
    <t>بدهی بورسی به مریم</t>
  </si>
  <si>
    <t>عیار سکه</t>
  </si>
  <si>
    <t>عیار طلای خالص</t>
  </si>
  <si>
    <t>وزن اونس</t>
  </si>
  <si>
    <t>مزن سکه</t>
  </si>
  <si>
    <t>قیمت اونس</t>
  </si>
  <si>
    <t>قیمت دلار</t>
  </si>
  <si>
    <t>قیمت سکه</t>
  </si>
  <si>
    <t>حق ضرب</t>
  </si>
  <si>
    <t>حقوق سال 97</t>
  </si>
  <si>
    <t>20/1/1397</t>
  </si>
  <si>
    <t>احتمالا مریم خرج کرده است</t>
  </si>
  <si>
    <t>سهم سود بانکی سارا</t>
  </si>
  <si>
    <t>جمع کل سارا</t>
  </si>
  <si>
    <t>مجموع سود سارا</t>
  </si>
  <si>
    <t>سکه 9712</t>
  </si>
  <si>
    <t>خرید و فروش مختلف و نوسان گیری</t>
  </si>
  <si>
    <t>سکه9712</t>
  </si>
  <si>
    <t>بدهی بورسی به سارا</t>
  </si>
  <si>
    <t>تتمه بدهی بابت پول دادن و گرفتن 30 میلیون</t>
  </si>
  <si>
    <t>از بورس گرفتم و از دارایی مریم کم کردم</t>
  </si>
  <si>
    <t>قیمت فروش در آتی</t>
  </si>
  <si>
    <t>قیمت خرید گواهی</t>
  </si>
  <si>
    <t>وجه تضمین</t>
  </si>
  <si>
    <t>درصد سود سالیانه</t>
  </si>
  <si>
    <t>تا 24 اردیبهشت</t>
  </si>
  <si>
    <t>سررسید</t>
  </si>
  <si>
    <t>اردیبهشت</t>
  </si>
  <si>
    <t>تیر</t>
  </si>
  <si>
    <t>شهریور</t>
  </si>
  <si>
    <t>آبان</t>
  </si>
  <si>
    <t>دی</t>
  </si>
  <si>
    <t>اسفند</t>
  </si>
  <si>
    <t>درصد سود ماهیانه</t>
  </si>
  <si>
    <t>ربع سکه و گرمی</t>
  </si>
  <si>
    <t>قبض موبایل مریم را پرداخت کردم</t>
  </si>
  <si>
    <t>22/1/1397</t>
  </si>
  <si>
    <t>به بورس بردم</t>
  </si>
  <si>
    <t>منبع</t>
  </si>
  <si>
    <t>نقد علی</t>
  </si>
  <si>
    <t>نقد مریم</t>
  </si>
  <si>
    <t>نقد سارا</t>
  </si>
  <si>
    <t>سهام مریم و سارا و علی</t>
  </si>
  <si>
    <t>طلب یکشنبه</t>
  </si>
  <si>
    <t>طلب آخر اردیبهشت</t>
  </si>
  <si>
    <t>حقوق فروردین</t>
  </si>
  <si>
    <t>مهدی اول اردیبهشت</t>
  </si>
  <si>
    <t>مهدی اول خرداد</t>
  </si>
  <si>
    <t>حسین اکبریان</t>
  </si>
  <si>
    <t>رضا تیر ماه</t>
  </si>
  <si>
    <t>حقوق اردیبهشت</t>
  </si>
  <si>
    <t>داریوش</t>
  </si>
  <si>
    <t>بهروز</t>
  </si>
  <si>
    <t>حقوق خرداد</t>
  </si>
  <si>
    <t>جمع</t>
  </si>
  <si>
    <t>مبلغ پیشبینی مورد نیاز</t>
  </si>
  <si>
    <t>مراحل کار</t>
  </si>
  <si>
    <t>ارزشیابی مدرک تحصیلی</t>
  </si>
  <si>
    <t>anabin.kmk.org</t>
  </si>
  <si>
    <t>zab@kmk.org</t>
  </si>
  <si>
    <t>تکمیل فرم آنلاین در سایت anabin</t>
  </si>
  <si>
    <t>ایمیل با application number  ارسال میشود</t>
  </si>
  <si>
    <t>ZAB Address</t>
  </si>
  <si>
    <t>Centran Office for foreign education zab PO Box 2240 Bonn 53012 Germany</t>
  </si>
  <si>
    <t>ترجمه رسمی و تایید شده مدرک تحصیلی و ریز نمرات ترجمه رسمی شناسنامه یا کپی برابر اصل گذرنامه</t>
  </si>
  <si>
    <t>هزینه 100 یورو برای بار نخست و 50 یورو دفعات بعد. رسید پرداخت باید با مدارک ارسال شود. 2 تا 3 ماه طول میکشد</t>
  </si>
  <si>
    <t>پیدا کردن کار</t>
  </si>
  <si>
    <t>make-it-in-germany.com</t>
  </si>
  <si>
    <t>سایت کار یابی</t>
  </si>
  <si>
    <t>www.apply.eu</t>
  </si>
  <si>
    <t>سایت اتحادیه اروپا</t>
  </si>
  <si>
    <t>از طریق سایت اتحادیه اروپا هم میتوان برای کل اروپا مدرک را ارزشیابی کرد</t>
  </si>
  <si>
    <t>لینک مفید</t>
  </si>
  <si>
    <t>www.study-in.de</t>
  </si>
  <si>
    <t>اخذ بلو کارت</t>
  </si>
  <si>
    <t>سفارت آلمان</t>
  </si>
  <si>
    <t>www.tehran.diploma.de</t>
  </si>
  <si>
    <t>حدود 3 ماه طول میکشد</t>
  </si>
  <si>
    <t>english speaking countries</t>
  </si>
  <si>
    <t>Australia</t>
  </si>
  <si>
    <t>Canada</t>
  </si>
  <si>
    <t>Ireland</t>
  </si>
  <si>
    <t>New Zealand</t>
  </si>
  <si>
    <t>United Kingdom</t>
  </si>
  <si>
    <t>United States of America</t>
  </si>
  <si>
    <t>26/1/1397</t>
  </si>
  <si>
    <t>از عابربانک</t>
  </si>
  <si>
    <t>اگر به 2.2 رسید میفروشم در غیر اینصورت پبجشنبه 20 اردیبهشت تصمیم میگیرم</t>
  </si>
  <si>
    <t>مبلغ اولیه مورد نیاز</t>
  </si>
  <si>
    <t>کوتاه مدت عملیاتی</t>
  </si>
  <si>
    <t>802-840-1692365-1</t>
  </si>
  <si>
    <t>802-800-1692365-1</t>
  </si>
  <si>
    <t>علی سامان قرض الحسنه</t>
  </si>
  <si>
    <t>علی بانک سامان کوتاه مدت عملیاتی</t>
  </si>
  <si>
    <t>6219 8610 3852 6397</t>
  </si>
  <si>
    <t>IR48-0560-0802-8400-1692-3650-01</t>
  </si>
  <si>
    <t>IR16-0560-0802-8000-1692-3650-01</t>
  </si>
  <si>
    <t>29/1/1397</t>
  </si>
  <si>
    <t>چهارشنبه 22/1/97 از 3 بعدازظهر تا 12 شب</t>
  </si>
  <si>
    <t>پنجشنبه 30/1/97 از 5 بعدازظهر</t>
  </si>
  <si>
    <t>20/9/1396</t>
  </si>
  <si>
    <t>طبق وعده</t>
  </si>
  <si>
    <t>اتفاق افتاده</t>
  </si>
  <si>
    <t>اختلاف</t>
  </si>
  <si>
    <t>خورد خورد پرداخت شد و میانگین آن 25 روز تاخیر میشود</t>
  </si>
  <si>
    <t>20/3/1397</t>
  </si>
  <si>
    <t>تا 1/2/1397</t>
  </si>
  <si>
    <t>جمع امتیاز تاخیر</t>
  </si>
  <si>
    <t>جریمه تاخیر</t>
  </si>
  <si>
    <t>31/1/1397</t>
  </si>
  <si>
    <t>آتی</t>
  </si>
  <si>
    <t>02186791000 157 158</t>
  </si>
  <si>
    <t>2/2/1397</t>
  </si>
  <si>
    <t>سه به حساب ملت علی و 200 نقد گرفتم</t>
  </si>
  <si>
    <t>روز 2 اردیبهشت 3 از کارت یاران مریم به ملت علی و 200 نقدی گرفتم</t>
  </si>
  <si>
    <t>مریم از حقوق فروردین ریخت به حساب ملت علی</t>
  </si>
  <si>
    <t>وجه تضمین بانک سامان عملیاتی 840</t>
  </si>
  <si>
    <t>بانک سامان عادی 800</t>
  </si>
  <si>
    <t xml:space="preserve">سود فروردین </t>
  </si>
  <si>
    <t>بدون حقوق فروردین</t>
  </si>
  <si>
    <t>آتی اردیبهشت خرید</t>
  </si>
  <si>
    <t>3/2/1397</t>
  </si>
  <si>
    <t>فروش سهام و سود آن</t>
  </si>
  <si>
    <t>از سهم سهام</t>
  </si>
  <si>
    <t>ماء التفاوت 21.835526 که از سهام طلب داشت و 16.276 که به حساب یاران ریختم</t>
  </si>
  <si>
    <t>به حساب ملت علی</t>
  </si>
  <si>
    <t>از ملت علی بورس</t>
  </si>
  <si>
    <t>بورس آتی</t>
  </si>
  <si>
    <t>تاریخ های مهم</t>
  </si>
  <si>
    <t>22/2</t>
  </si>
  <si>
    <t>22/6</t>
  </si>
  <si>
    <t>برجام</t>
  </si>
  <si>
    <t>برجام و پایان یکساله بانکها</t>
  </si>
  <si>
    <t>1/2/1397</t>
  </si>
  <si>
    <t>خرج سفر مشهد</t>
  </si>
  <si>
    <t>5/2/1397</t>
  </si>
  <si>
    <t>به بانک سامان</t>
  </si>
  <si>
    <t>6/2/1397</t>
  </si>
  <si>
    <t>روز 5/2 به مسکن یاران مریم انتقال دادم از کارت ایلیا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</si>
</sst>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ت\و\م\ا\ن\ #,##0\ "/>
    <numFmt numFmtId="165" formatCode="[$-3000401]0"/>
  </numFmts>
  <fonts count="8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</font>
    <font>
      <b/>
      <sz val="11"/>
      <name val="Calibri"/>
    </font>
  </fonts>
  <fills count="2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2F2F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6" fillId="0" borderId="0"/>
    <xf numFmtId="0" fontId="5" fillId="0" borderId="0"/>
  </cellStyleXfs>
  <cellXfs count="143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/>
    <xf numFmtId="0" fontId="0" fillId="0" borderId="3" xfId="0" applyFill="1" applyBorder="1" applyAlignment="1">
      <alignment horizontal="center"/>
    </xf>
    <xf numFmtId="0" fontId="0" fillId="2" borderId="0" xfId="0" applyFill="1"/>
    <xf numFmtId="0" fontId="0" fillId="0" borderId="4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/>
    <xf numFmtId="1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2" borderId="1" xfId="0" applyFill="1" applyBorder="1"/>
    <xf numFmtId="1" fontId="0" fillId="0" borderId="0" xfId="0" applyNumberFormat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164" fontId="0" fillId="0" borderId="1" xfId="0" applyNumberFormat="1" applyBorder="1"/>
    <xf numFmtId="14" fontId="0" fillId="5" borderId="1" xfId="0" applyNumberFormat="1" applyFill="1" applyBorder="1"/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/>
    <xf numFmtId="1" fontId="0" fillId="0" borderId="0" xfId="0" applyNumberFormat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wrapText="1"/>
    </xf>
    <xf numFmtId="16" fontId="0" fillId="0" borderId="1" xfId="0" applyNumberFormat="1" applyBorder="1"/>
    <xf numFmtId="164" fontId="0" fillId="0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0" xfId="0" applyAlignment="1">
      <alignment horizontal="center" wrapText="1"/>
    </xf>
    <xf numFmtId="164" fontId="0" fillId="5" borderId="0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4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4" borderId="1" xfId="0" applyFill="1" applyBorder="1"/>
    <xf numFmtId="164" fontId="0" fillId="14" borderId="1" xfId="0" applyNumberFormat="1" applyFill="1" applyBorder="1" applyAlignment="1">
      <alignment horizontal="center"/>
    </xf>
    <xf numFmtId="164" fontId="0" fillId="11" borderId="1" xfId="0" applyNumberFormat="1" applyFont="1" applyFill="1" applyBorder="1" applyAlignment="1">
      <alignment horizontal="center"/>
    </xf>
    <xf numFmtId="0" fontId="0" fillId="0" borderId="1" xfId="0" applyBorder="1" applyAlignment="1">
      <alignment vertical="center" wrapText="1"/>
    </xf>
    <xf numFmtId="165" fontId="0" fillId="0" borderId="1" xfId="0" applyNumberFormat="1" applyBorder="1" applyAlignment="1">
      <alignment vertical="center" wrapText="1"/>
    </xf>
    <xf numFmtId="0" fontId="0" fillId="0" borderId="1" xfId="0" applyFill="1" applyBorder="1"/>
    <xf numFmtId="16" fontId="0" fillId="0" borderId="0" xfId="0" applyNumberFormat="1" applyBorder="1"/>
    <xf numFmtId="164" fontId="0" fillId="5" borderId="0" xfId="0" applyNumberFormat="1" applyFill="1" applyBorder="1" applyAlignment="1">
      <alignment horizontal="center" vertical="center"/>
    </xf>
    <xf numFmtId="164" fontId="0" fillId="0" borderId="0" xfId="0" applyNumberFormat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3" xfId="0" applyFill="1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 applyAlignment="1">
      <alignment horizontal="center"/>
    </xf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2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164" fontId="0" fillId="0" borderId="5" xfId="0" applyNumberFormat="1" applyBorder="1" applyAlignment="1">
      <alignment horizontal="center"/>
    </xf>
    <xf numFmtId="0" fontId="0" fillId="0" borderId="0" xfId="0" applyFill="1" applyBorder="1"/>
    <xf numFmtId="164" fontId="0" fillId="18" borderId="1" xfId="0" applyNumberFormat="1" applyFill="1" applyBorder="1" applyAlignment="1">
      <alignment horizontal="center"/>
    </xf>
    <xf numFmtId="0" fontId="0" fillId="19" borderId="1" xfId="0" applyFill="1" applyBorder="1"/>
    <xf numFmtId="164" fontId="0" fillId="19" borderId="1" xfId="0" applyNumberFormat="1" applyFill="1" applyBorder="1" applyAlignment="1">
      <alignment horizontal="center"/>
    </xf>
    <xf numFmtId="0" fontId="0" fillId="20" borderId="1" xfId="0" applyFill="1" applyBorder="1"/>
    <xf numFmtId="164" fontId="0" fillId="20" borderId="1" xfId="0" applyNumberFormat="1" applyFill="1" applyBorder="1" applyAlignment="1">
      <alignment horizontal="center"/>
    </xf>
    <xf numFmtId="0" fontId="0" fillId="21" borderId="1" xfId="0" applyFill="1" applyBorder="1"/>
    <xf numFmtId="164" fontId="0" fillId="21" borderId="1" xfId="0" applyNumberFormat="1" applyFill="1" applyBorder="1" applyAlignment="1">
      <alignment horizontal="center"/>
    </xf>
    <xf numFmtId="0" fontId="0" fillId="22" borderId="1" xfId="0" applyFill="1" applyBorder="1"/>
    <xf numFmtId="164" fontId="0" fillId="22" borderId="1" xfId="0" applyNumberFormat="1" applyFill="1" applyBorder="1" applyAlignment="1">
      <alignment horizontal="center"/>
    </xf>
    <xf numFmtId="0" fontId="0" fillId="23" borderId="0" xfId="0" applyFill="1" applyAlignment="1">
      <alignment horizontal="justify" vertical="center"/>
    </xf>
    <xf numFmtId="0" fontId="0" fillId="24" borderId="0" xfId="0" applyFill="1" applyAlignment="1">
      <alignment horizontal="justify" vertical="center"/>
    </xf>
    <xf numFmtId="0" fontId="0" fillId="0" borderId="1" xfId="0" applyBorder="1"/>
    <xf numFmtId="0" fontId="0" fillId="0" borderId="0" xfId="0" applyBorder="1"/>
    <xf numFmtId="164" fontId="0" fillId="0" borderId="0" xfId="0" applyNumberFormat="1" applyBorder="1"/>
    <xf numFmtId="164" fontId="0" fillId="0" borderId="1" xfId="0" applyNumberFormat="1" applyBorder="1"/>
    <xf numFmtId="0" fontId="0" fillId="0" borderId="0" xfId="0"/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1" xfId="0" applyBorder="1"/>
    <xf numFmtId="0" fontId="0" fillId="4" borderId="1" xfId="0" applyFill="1" applyBorder="1"/>
    <xf numFmtId="0" fontId="0" fillId="0" borderId="0" xfId="0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7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0" fontId="0" fillId="0" borderId="0" xfId="0" applyBorder="1" applyAlignment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0" xfId="0" applyBorder="1"/>
    <xf numFmtId="164" fontId="0" fillId="0" borderId="0" xfId="0" applyNumberFormat="1" applyBorder="1"/>
    <xf numFmtId="164" fontId="0" fillId="5" borderId="1" xfId="0" applyNumberFormat="1" applyFill="1" applyBorder="1" applyAlignment="1">
      <alignment horizontal="center"/>
    </xf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0" fontId="0" fillId="0" borderId="0" xfId="0" applyFill="1" applyBorder="1"/>
    <xf numFmtId="0" fontId="4" fillId="0" borderId="0" xfId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 vertical="center" wrapText="1"/>
    </xf>
    <xf numFmtId="0" fontId="4" fillId="0" borderId="0" xfId="1" applyAlignment="1">
      <alignment horizontal="right" vertical="center" wrapText="1"/>
    </xf>
    <xf numFmtId="0" fontId="0" fillId="0" borderId="0" xfId="0" applyAlignment="1">
      <alignment horizontal="center" vertical="center" wrapText="1" readingOrder="1"/>
    </xf>
    <xf numFmtId="14" fontId="0" fillId="0" borderId="0" xfId="0" applyNumberFormat="1"/>
    <xf numFmtId="164" fontId="0" fillId="0" borderId="0" xfId="0" applyNumberFormat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/>
    </xf>
    <xf numFmtId="0" fontId="6" fillId="0" borderId="0" xfId="2" applyFont="1" applyFill="1" applyBorder="1"/>
    <xf numFmtId="0" fontId="7" fillId="0" borderId="0" xfId="2" applyFont="1" applyFill="1" applyBorder="1"/>
    <xf numFmtId="0" fontId="3" fillId="23" borderId="0" xfId="0" applyFont="1" applyFill="1" applyAlignment="1">
      <alignment horizontal="center" vertical="center"/>
    </xf>
    <xf numFmtId="0" fontId="2" fillId="24" borderId="0" xfId="0" applyFont="1" applyFill="1" applyAlignment="1">
      <alignment horizontal="center" vertical="center"/>
    </xf>
    <xf numFmtId="0" fontId="0" fillId="24" borderId="0" xfId="0" applyFill="1" applyAlignment="1">
      <alignment horizontal="center" vertical="center"/>
    </xf>
    <xf numFmtId="0" fontId="3" fillId="24" borderId="0" xfId="0" applyFont="1" applyFill="1" applyAlignment="1">
      <alignment horizontal="center" vertical="center"/>
    </xf>
  </cellXfs>
  <cellStyles count="4">
    <cellStyle name="Hyperlink" xfId="1" builtinId="8"/>
    <cellStyle name="Normal" xfId="0" builtinId="0"/>
    <cellStyle name="Normal 2" xfId="3"/>
    <cellStyle name="Normal 3" xfId="2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hyperlink" Target="http://www.study-in.de/" TargetMode="External"/><Relationship Id="rId2" Type="http://schemas.openxmlformats.org/officeDocument/2006/relationships/hyperlink" Target="http://www.apply.eu/" TargetMode="External"/><Relationship Id="rId1" Type="http://schemas.openxmlformats.org/officeDocument/2006/relationships/hyperlink" Target="mailto:zab@kmk.org" TargetMode="External"/><Relationship Id="rId4" Type="http://schemas.openxmlformats.org/officeDocument/2006/relationships/hyperlink" Target="http://www.tehran.diploma.de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9"/>
  <sheetViews>
    <sheetView topLeftCell="A4" workbookViewId="0">
      <selection activeCell="E35" sqref="E35"/>
    </sheetView>
  </sheetViews>
  <sheetFormatPr defaultRowHeight="15"/>
  <cols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8.85546875" bestFit="1" customWidth="1"/>
    <col min="7" max="9" width="16.140625" bestFit="1" customWidth="1"/>
    <col min="10" max="10" width="7.28515625" bestFit="1" customWidth="1"/>
    <col min="12" max="12" width="9.7109375" bestFit="1" customWidth="1"/>
  </cols>
  <sheetData>
    <row r="1" spans="1:18">
      <c r="A1" s="118" t="s">
        <v>0</v>
      </c>
      <c r="B1" s="118" t="s">
        <v>1</v>
      </c>
      <c r="C1" s="118" t="s">
        <v>4</v>
      </c>
      <c r="D1" s="118" t="s">
        <v>5</v>
      </c>
      <c r="E1" s="11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102"/>
      <c r="O1" s="102"/>
      <c r="P1" s="102"/>
      <c r="Q1" s="102"/>
      <c r="R1" s="102"/>
    </row>
    <row r="2" spans="1:18">
      <c r="A2" s="118" t="s">
        <v>1257</v>
      </c>
      <c r="B2" s="119">
        <f>'فروردین 97'!B24</f>
        <v>909916</v>
      </c>
      <c r="C2" s="1">
        <f>'فروردین 97'!C24</f>
        <v>818994</v>
      </c>
      <c r="D2" s="119">
        <f>B2-C2</f>
        <v>90922</v>
      </c>
      <c r="E2" s="118" t="s">
        <v>59</v>
      </c>
      <c r="F2" s="102">
        <v>30</v>
      </c>
      <c r="G2" s="102">
        <f>B2*F2</f>
        <v>27297480</v>
      </c>
      <c r="H2" s="102">
        <f>C2*F2</f>
        <v>24569820</v>
      </c>
      <c r="I2" s="102">
        <f>D2*F2</f>
        <v>2727660</v>
      </c>
      <c r="J2" s="102"/>
      <c r="K2" s="102"/>
      <c r="L2" s="102"/>
      <c r="M2" s="102"/>
      <c r="N2" s="102"/>
      <c r="O2" s="102"/>
      <c r="P2" s="102"/>
      <c r="Q2" s="102"/>
      <c r="R2" s="102"/>
    </row>
    <row r="3" spans="1:18">
      <c r="A3" s="20" t="s">
        <v>1269</v>
      </c>
      <c r="B3" s="18">
        <v>6824082</v>
      </c>
      <c r="C3" s="18">
        <v>6824082</v>
      </c>
      <c r="D3" s="123">
        <f t="shared" ref="D3:D22" si="0">B3-C3</f>
        <v>0</v>
      </c>
      <c r="E3" s="20" t="s">
        <v>1090</v>
      </c>
      <c r="F3" s="102">
        <v>28</v>
      </c>
      <c r="G3" s="102">
        <f t="shared" ref="G3:G23" si="1">B3*F3</f>
        <v>191074296</v>
      </c>
      <c r="H3" s="102">
        <f t="shared" ref="H3:H23" si="2">C3*F3</f>
        <v>191074296</v>
      </c>
      <c r="I3" s="102">
        <f t="shared" ref="I3:I23" si="3">D3*F3</f>
        <v>0</v>
      </c>
      <c r="J3" s="102"/>
      <c r="K3" s="102"/>
      <c r="L3" s="102"/>
      <c r="M3" s="102"/>
      <c r="N3" s="102"/>
      <c r="O3" s="102"/>
      <c r="P3" s="102"/>
      <c r="Q3" s="102"/>
      <c r="R3" s="102"/>
    </row>
    <row r="4" spans="1:18">
      <c r="A4" s="20" t="s">
        <v>1108</v>
      </c>
      <c r="B4" s="18">
        <v>0</v>
      </c>
      <c r="C4" s="18">
        <v>0</v>
      </c>
      <c r="D4" s="119">
        <f t="shared" si="0"/>
        <v>0</v>
      </c>
      <c r="E4" s="105"/>
      <c r="F4" s="102">
        <v>17</v>
      </c>
      <c r="G4" s="102">
        <f t="shared" si="1"/>
        <v>0</v>
      </c>
      <c r="H4" s="102">
        <f t="shared" si="2"/>
        <v>0</v>
      </c>
      <c r="I4" s="102">
        <f t="shared" si="3"/>
        <v>0</v>
      </c>
      <c r="J4" s="102"/>
      <c r="K4" s="102"/>
      <c r="L4" s="102"/>
      <c r="M4" s="102"/>
      <c r="N4" s="102"/>
      <c r="O4" s="102">
        <v>1</v>
      </c>
      <c r="P4" s="102">
        <v>30</v>
      </c>
      <c r="Q4" s="102">
        <v>31</v>
      </c>
      <c r="R4" s="102"/>
    </row>
    <row r="5" spans="1:18">
      <c r="A5" s="30" t="s">
        <v>1158</v>
      </c>
      <c r="B5" s="18">
        <v>0</v>
      </c>
      <c r="C5" s="18">
        <v>0</v>
      </c>
      <c r="D5" s="119">
        <f t="shared" si="0"/>
        <v>0</v>
      </c>
      <c r="E5" s="20"/>
      <c r="F5" s="102">
        <v>12</v>
      </c>
      <c r="G5" s="102">
        <f t="shared" si="1"/>
        <v>0</v>
      </c>
      <c r="H5" s="102">
        <f t="shared" si="2"/>
        <v>0</v>
      </c>
      <c r="I5" s="102">
        <f t="shared" si="3"/>
        <v>0</v>
      </c>
      <c r="J5" s="102"/>
      <c r="K5" s="102"/>
      <c r="L5" s="102"/>
      <c r="M5" s="102"/>
      <c r="N5" s="102"/>
      <c r="O5" s="102">
        <v>2</v>
      </c>
      <c r="P5" s="102">
        <v>29</v>
      </c>
      <c r="Q5" s="102">
        <v>30</v>
      </c>
      <c r="R5" s="102"/>
    </row>
    <row r="6" spans="1:18">
      <c r="A6" s="17" t="s">
        <v>1158</v>
      </c>
      <c r="B6" s="18">
        <v>0</v>
      </c>
      <c r="C6" s="18">
        <v>0</v>
      </c>
      <c r="D6" s="119">
        <f t="shared" si="0"/>
        <v>0</v>
      </c>
      <c r="E6" s="19"/>
      <c r="F6" s="102">
        <v>12</v>
      </c>
      <c r="G6" s="102">
        <f t="shared" si="1"/>
        <v>0</v>
      </c>
      <c r="H6" s="102">
        <f t="shared" si="2"/>
        <v>0</v>
      </c>
      <c r="I6" s="102">
        <f t="shared" si="3"/>
        <v>0</v>
      </c>
      <c r="J6" s="102"/>
      <c r="K6" s="102"/>
      <c r="L6" s="102"/>
      <c r="M6" s="102"/>
      <c r="N6" s="102"/>
      <c r="O6" s="102">
        <v>3</v>
      </c>
      <c r="P6" s="102">
        <v>28</v>
      </c>
      <c r="Q6" s="102">
        <v>29</v>
      </c>
      <c r="R6" s="102"/>
    </row>
    <row r="7" spans="1:18">
      <c r="A7" s="17">
        <v>0</v>
      </c>
      <c r="B7" s="18">
        <v>0</v>
      </c>
      <c r="C7" s="18">
        <v>0</v>
      </c>
      <c r="D7" s="119">
        <f t="shared" si="0"/>
        <v>0</v>
      </c>
      <c r="E7" s="19"/>
      <c r="F7" s="102">
        <v>0</v>
      </c>
      <c r="G7" s="102">
        <f t="shared" si="1"/>
        <v>0</v>
      </c>
      <c r="H7" s="102">
        <f t="shared" si="2"/>
        <v>0</v>
      </c>
      <c r="I7" s="102">
        <f t="shared" si="3"/>
        <v>0</v>
      </c>
      <c r="J7" s="102"/>
      <c r="K7" s="102"/>
      <c r="L7" s="102"/>
      <c r="M7" s="102"/>
      <c r="N7" s="102"/>
      <c r="O7" s="102">
        <v>4</v>
      </c>
      <c r="P7" s="102">
        <v>27</v>
      </c>
      <c r="Q7" s="102">
        <v>28</v>
      </c>
      <c r="R7" s="102"/>
    </row>
    <row r="8" spans="1:18">
      <c r="A8" s="17">
        <v>0</v>
      </c>
      <c r="B8" s="18">
        <v>0</v>
      </c>
      <c r="C8" s="18">
        <v>0</v>
      </c>
      <c r="D8" s="119">
        <f t="shared" si="0"/>
        <v>0</v>
      </c>
      <c r="E8" s="19"/>
      <c r="F8" s="102">
        <v>0</v>
      </c>
      <c r="G8" s="102">
        <f t="shared" si="1"/>
        <v>0</v>
      </c>
      <c r="H8" s="102">
        <f t="shared" si="2"/>
        <v>0</v>
      </c>
      <c r="I8" s="102">
        <f t="shared" si="3"/>
        <v>0</v>
      </c>
      <c r="J8" s="102"/>
      <c r="K8" s="102"/>
      <c r="L8" s="102"/>
      <c r="M8" s="102"/>
      <c r="N8" s="102"/>
      <c r="O8" s="102">
        <v>5</v>
      </c>
      <c r="P8" s="102">
        <v>26</v>
      </c>
      <c r="Q8" s="102">
        <v>27</v>
      </c>
      <c r="R8" s="102"/>
    </row>
    <row r="9" spans="1:18">
      <c r="A9" s="17">
        <v>0</v>
      </c>
      <c r="B9" s="18">
        <v>0</v>
      </c>
      <c r="C9" s="18">
        <v>0</v>
      </c>
      <c r="D9" s="119">
        <f t="shared" si="0"/>
        <v>0</v>
      </c>
      <c r="E9" s="21"/>
      <c r="F9" s="102">
        <v>0</v>
      </c>
      <c r="G9" s="102">
        <f t="shared" si="1"/>
        <v>0</v>
      </c>
      <c r="H9" s="102">
        <f t="shared" si="2"/>
        <v>0</v>
      </c>
      <c r="I9" s="102">
        <f t="shared" si="3"/>
        <v>0</v>
      </c>
      <c r="J9" s="102"/>
      <c r="K9" s="102"/>
      <c r="L9" s="102"/>
      <c r="M9" s="102"/>
      <c r="N9" s="102"/>
      <c r="O9" s="102">
        <v>6</v>
      </c>
      <c r="P9" s="102">
        <v>25</v>
      </c>
      <c r="Q9" s="102">
        <v>26</v>
      </c>
      <c r="R9" s="102"/>
    </row>
    <row r="10" spans="1:18">
      <c r="A10" s="17">
        <v>0</v>
      </c>
      <c r="B10" s="18">
        <v>0</v>
      </c>
      <c r="C10" s="18">
        <v>0</v>
      </c>
      <c r="D10" s="119">
        <f t="shared" si="0"/>
        <v>0</v>
      </c>
      <c r="E10" s="19"/>
      <c r="F10" s="102">
        <v>0</v>
      </c>
      <c r="G10" s="102">
        <f t="shared" si="1"/>
        <v>0</v>
      </c>
      <c r="H10" s="102">
        <f t="shared" si="2"/>
        <v>0</v>
      </c>
      <c r="I10" s="102">
        <f t="shared" si="3"/>
        <v>0</v>
      </c>
      <c r="J10" s="102"/>
      <c r="K10" s="102"/>
      <c r="L10" s="102"/>
      <c r="M10" s="102"/>
      <c r="N10" s="102"/>
      <c r="O10" s="102">
        <v>7</v>
      </c>
      <c r="P10" s="102">
        <v>24</v>
      </c>
      <c r="Q10" s="102">
        <v>25</v>
      </c>
      <c r="R10" s="102"/>
    </row>
    <row r="11" spans="1:18">
      <c r="A11" s="17">
        <v>0</v>
      </c>
      <c r="B11" s="18">
        <v>0</v>
      </c>
      <c r="C11" s="18">
        <v>0</v>
      </c>
      <c r="D11" s="119">
        <f t="shared" si="0"/>
        <v>0</v>
      </c>
      <c r="E11" s="19"/>
      <c r="F11" s="102">
        <v>0</v>
      </c>
      <c r="G11" s="102">
        <f t="shared" si="1"/>
        <v>0</v>
      </c>
      <c r="H11" s="102">
        <f t="shared" si="2"/>
        <v>0</v>
      </c>
      <c r="I11" s="102">
        <f t="shared" si="3"/>
        <v>0</v>
      </c>
      <c r="J11" s="102"/>
      <c r="K11" s="102"/>
      <c r="L11" s="102"/>
      <c r="M11" s="102"/>
      <c r="N11" s="102"/>
      <c r="O11" s="102">
        <v>8</v>
      </c>
      <c r="P11" s="102">
        <v>23</v>
      </c>
      <c r="Q11" s="102">
        <v>24</v>
      </c>
      <c r="R11" s="102"/>
    </row>
    <row r="12" spans="1:18">
      <c r="A12" s="20">
        <v>0</v>
      </c>
      <c r="B12" s="18">
        <v>0</v>
      </c>
      <c r="C12" s="18">
        <v>0</v>
      </c>
      <c r="D12" s="119">
        <f t="shared" si="0"/>
        <v>0</v>
      </c>
      <c r="E12" s="20"/>
      <c r="F12" s="102">
        <v>0</v>
      </c>
      <c r="G12" s="102">
        <f t="shared" si="1"/>
        <v>0</v>
      </c>
      <c r="H12" s="102">
        <f t="shared" si="2"/>
        <v>0</v>
      </c>
      <c r="I12" s="102">
        <f t="shared" si="3"/>
        <v>0</v>
      </c>
      <c r="J12" s="102"/>
      <c r="K12" s="102"/>
      <c r="L12" s="102"/>
      <c r="M12" s="102"/>
      <c r="N12" s="102"/>
      <c r="O12" s="102">
        <v>9</v>
      </c>
      <c r="P12" s="102">
        <v>22</v>
      </c>
      <c r="Q12" s="102">
        <v>23</v>
      </c>
      <c r="R12" s="102"/>
    </row>
    <row r="13" spans="1:18">
      <c r="A13" s="20">
        <v>0</v>
      </c>
      <c r="B13" s="18">
        <v>0</v>
      </c>
      <c r="C13" s="18">
        <v>0</v>
      </c>
      <c r="D13" s="119">
        <f t="shared" si="0"/>
        <v>0</v>
      </c>
      <c r="E13" s="20"/>
      <c r="F13" s="102">
        <v>0</v>
      </c>
      <c r="G13" s="102">
        <f>B13*F13</f>
        <v>0</v>
      </c>
      <c r="H13" s="102">
        <f t="shared" si="2"/>
        <v>0</v>
      </c>
      <c r="I13" s="102">
        <f t="shared" si="3"/>
        <v>0</v>
      </c>
      <c r="J13" s="102"/>
      <c r="K13" s="102"/>
      <c r="L13" s="102"/>
      <c r="M13" s="102"/>
      <c r="N13" s="102"/>
      <c r="O13" s="102">
        <v>10</v>
      </c>
      <c r="P13" s="102">
        <v>21</v>
      </c>
      <c r="Q13" s="102">
        <v>22</v>
      </c>
      <c r="R13" s="102"/>
    </row>
    <row r="14" spans="1:18">
      <c r="A14" s="20">
        <v>0</v>
      </c>
      <c r="B14" s="18">
        <v>0</v>
      </c>
      <c r="C14" s="18">
        <v>0</v>
      </c>
      <c r="D14" s="119">
        <f t="shared" si="0"/>
        <v>0</v>
      </c>
      <c r="E14" s="20"/>
      <c r="F14" s="102">
        <v>0</v>
      </c>
      <c r="G14" s="102">
        <f t="shared" si="1"/>
        <v>0</v>
      </c>
      <c r="H14" s="102">
        <f t="shared" si="2"/>
        <v>0</v>
      </c>
      <c r="I14" s="102">
        <f t="shared" si="3"/>
        <v>0</v>
      </c>
      <c r="J14" s="102"/>
      <c r="K14" s="102"/>
      <c r="L14" s="102"/>
      <c r="M14" s="102"/>
      <c r="N14" s="102"/>
      <c r="O14" s="102">
        <v>11</v>
      </c>
      <c r="P14" s="102">
        <v>20</v>
      </c>
      <c r="Q14" s="102">
        <v>21</v>
      </c>
      <c r="R14" s="102"/>
    </row>
    <row r="15" spans="1:18">
      <c r="A15" s="20">
        <v>0</v>
      </c>
      <c r="B15" s="18">
        <v>0</v>
      </c>
      <c r="C15" s="18">
        <v>0</v>
      </c>
      <c r="D15" s="119">
        <f t="shared" si="0"/>
        <v>0</v>
      </c>
      <c r="E15" s="20"/>
      <c r="F15" s="102">
        <v>0</v>
      </c>
      <c r="G15" s="102">
        <f t="shared" si="1"/>
        <v>0</v>
      </c>
      <c r="H15" s="102">
        <f t="shared" si="2"/>
        <v>0</v>
      </c>
      <c r="I15" s="102">
        <f t="shared" si="3"/>
        <v>0</v>
      </c>
      <c r="J15" s="102"/>
      <c r="K15" s="102"/>
      <c r="L15" s="102"/>
      <c r="M15" s="102"/>
      <c r="N15" s="102"/>
      <c r="O15" s="102">
        <v>12</v>
      </c>
      <c r="P15" s="102">
        <v>19</v>
      </c>
      <c r="Q15" s="102">
        <v>20</v>
      </c>
      <c r="R15" s="102"/>
    </row>
    <row r="16" spans="1:18">
      <c r="A16" s="20">
        <v>0</v>
      </c>
      <c r="B16" s="18">
        <v>0</v>
      </c>
      <c r="C16" s="18">
        <v>0</v>
      </c>
      <c r="D16" s="119">
        <f t="shared" si="0"/>
        <v>0</v>
      </c>
      <c r="E16" s="20"/>
      <c r="F16" s="102">
        <v>0</v>
      </c>
      <c r="G16" s="102">
        <f t="shared" si="1"/>
        <v>0</v>
      </c>
      <c r="H16" s="102">
        <f t="shared" si="2"/>
        <v>0</v>
      </c>
      <c r="I16" s="102">
        <f t="shared" si="3"/>
        <v>0</v>
      </c>
      <c r="J16" s="102"/>
      <c r="K16" s="102"/>
      <c r="L16" s="102"/>
      <c r="M16" s="102"/>
      <c r="N16" s="102"/>
      <c r="O16" s="102">
        <v>13</v>
      </c>
      <c r="P16" s="102">
        <v>18</v>
      </c>
      <c r="Q16" s="102">
        <v>19</v>
      </c>
      <c r="R16" s="102"/>
    </row>
    <row r="17" spans="1:18">
      <c r="A17" s="20">
        <v>0</v>
      </c>
      <c r="B17" s="18">
        <v>0</v>
      </c>
      <c r="C17" s="18">
        <v>0</v>
      </c>
      <c r="D17" s="119">
        <f t="shared" si="0"/>
        <v>0</v>
      </c>
      <c r="E17" s="20"/>
      <c r="F17" s="102">
        <v>0</v>
      </c>
      <c r="G17" s="102">
        <f t="shared" si="1"/>
        <v>0</v>
      </c>
      <c r="H17" s="102">
        <f t="shared" si="2"/>
        <v>0</v>
      </c>
      <c r="I17" s="102">
        <f t="shared" si="3"/>
        <v>0</v>
      </c>
      <c r="J17" s="102"/>
      <c r="K17" s="102"/>
      <c r="L17" s="102"/>
      <c r="M17" s="102"/>
      <c r="N17" s="102"/>
      <c r="O17" s="102">
        <v>14</v>
      </c>
      <c r="P17" s="102">
        <v>17</v>
      </c>
      <c r="Q17" s="102">
        <v>18</v>
      </c>
      <c r="R17" s="102"/>
    </row>
    <row r="18" spans="1:18">
      <c r="A18" s="20"/>
      <c r="B18" s="18"/>
      <c r="C18" s="18"/>
      <c r="D18" s="119">
        <f t="shared" si="0"/>
        <v>0</v>
      </c>
      <c r="E18" s="20"/>
      <c r="F18" s="102">
        <v>0</v>
      </c>
      <c r="G18" s="102">
        <f t="shared" si="1"/>
        <v>0</v>
      </c>
      <c r="H18" s="102">
        <f t="shared" si="2"/>
        <v>0</v>
      </c>
      <c r="I18" s="102">
        <f t="shared" si="3"/>
        <v>0</v>
      </c>
      <c r="J18" s="102"/>
      <c r="K18" s="102"/>
      <c r="L18" s="102"/>
      <c r="M18" s="102"/>
      <c r="N18" s="102"/>
      <c r="O18" s="102">
        <v>15</v>
      </c>
      <c r="P18" s="102">
        <v>16</v>
      </c>
      <c r="Q18" s="102">
        <v>17</v>
      </c>
      <c r="R18" s="102"/>
    </row>
    <row r="19" spans="1:18">
      <c r="A19" s="20"/>
      <c r="B19" s="18"/>
      <c r="C19" s="18"/>
      <c r="D19" s="119">
        <f t="shared" si="0"/>
        <v>0</v>
      </c>
      <c r="E19" s="20"/>
      <c r="F19" s="102">
        <v>0</v>
      </c>
      <c r="G19" s="102">
        <f t="shared" si="1"/>
        <v>0</v>
      </c>
      <c r="H19" s="102">
        <f t="shared" si="2"/>
        <v>0</v>
      </c>
      <c r="I19" s="102">
        <f t="shared" si="3"/>
        <v>0</v>
      </c>
      <c r="J19" s="102"/>
      <c r="K19" s="102"/>
      <c r="L19" s="102"/>
      <c r="M19" s="102"/>
      <c r="N19" s="102"/>
      <c r="O19" s="102">
        <v>16</v>
      </c>
      <c r="P19" s="102">
        <v>15</v>
      </c>
      <c r="Q19" s="102">
        <v>16</v>
      </c>
      <c r="R19" s="102"/>
    </row>
    <row r="20" spans="1:18">
      <c r="A20" s="19"/>
      <c r="B20" s="18"/>
      <c r="C20" s="18"/>
      <c r="D20" s="119">
        <f t="shared" si="0"/>
        <v>0</v>
      </c>
      <c r="E20" s="19"/>
      <c r="F20" s="102">
        <v>0</v>
      </c>
      <c r="G20" s="102">
        <f t="shared" si="1"/>
        <v>0</v>
      </c>
      <c r="H20" s="102">
        <f t="shared" si="2"/>
        <v>0</v>
      </c>
      <c r="I20" s="102">
        <f t="shared" si="3"/>
        <v>0</v>
      </c>
      <c r="J20" s="102"/>
      <c r="K20" s="102"/>
      <c r="L20" s="102"/>
      <c r="M20" s="102"/>
      <c r="N20" s="102"/>
      <c r="O20" s="102">
        <v>17</v>
      </c>
      <c r="P20" s="102">
        <v>14</v>
      </c>
      <c r="Q20" s="102">
        <v>15</v>
      </c>
      <c r="R20" s="102"/>
    </row>
    <row r="21" spans="1:18">
      <c r="A21" s="19"/>
      <c r="B21" s="18"/>
      <c r="C21" s="18"/>
      <c r="D21" s="119">
        <f t="shared" si="0"/>
        <v>0</v>
      </c>
      <c r="E21" s="19"/>
      <c r="F21" s="102">
        <v>0</v>
      </c>
      <c r="G21" s="102">
        <f t="shared" si="1"/>
        <v>0</v>
      </c>
      <c r="H21" s="102">
        <f t="shared" si="2"/>
        <v>0</v>
      </c>
      <c r="I21" s="102">
        <f t="shared" si="3"/>
        <v>0</v>
      </c>
      <c r="J21" s="102"/>
      <c r="K21" s="102"/>
      <c r="L21" s="102"/>
      <c r="M21" s="102"/>
      <c r="N21" s="102"/>
      <c r="O21" s="102">
        <v>18</v>
      </c>
      <c r="P21" s="102">
        <v>13</v>
      </c>
      <c r="Q21" s="102">
        <v>14</v>
      </c>
      <c r="R21" s="102"/>
    </row>
    <row r="22" spans="1:18">
      <c r="A22" s="19"/>
      <c r="B22" s="18"/>
      <c r="C22" s="18"/>
      <c r="D22" s="119">
        <f t="shared" si="0"/>
        <v>0</v>
      </c>
      <c r="E22" s="19"/>
      <c r="F22" s="102">
        <v>0</v>
      </c>
      <c r="G22" s="102">
        <f t="shared" si="1"/>
        <v>0</v>
      </c>
      <c r="H22" s="102">
        <f t="shared" si="2"/>
        <v>0</v>
      </c>
      <c r="I22" s="102">
        <f t="shared" si="3"/>
        <v>0</v>
      </c>
      <c r="J22" s="102"/>
      <c r="K22" s="102"/>
      <c r="L22" s="102"/>
      <c r="M22" s="102"/>
      <c r="N22" s="102"/>
      <c r="O22" s="102">
        <v>19</v>
      </c>
      <c r="P22" s="102">
        <v>12</v>
      </c>
      <c r="Q22" s="102">
        <v>13</v>
      </c>
      <c r="R22" s="102"/>
    </row>
    <row r="23" spans="1:18">
      <c r="A23" s="118"/>
      <c r="B23" s="118"/>
      <c r="C23" s="118"/>
      <c r="D23" s="118"/>
      <c r="E23" s="118"/>
      <c r="F23" s="102"/>
      <c r="G23" s="102">
        <f t="shared" si="1"/>
        <v>0</v>
      </c>
      <c r="H23" s="102">
        <f t="shared" si="2"/>
        <v>0</v>
      </c>
      <c r="I23" s="102">
        <f t="shared" si="3"/>
        <v>0</v>
      </c>
      <c r="J23" s="102"/>
      <c r="K23" s="102"/>
      <c r="L23" s="102"/>
      <c r="M23" s="102"/>
      <c r="N23" s="102"/>
      <c r="O23" s="102">
        <v>20</v>
      </c>
      <c r="P23" s="102">
        <v>11</v>
      </c>
      <c r="Q23" s="102">
        <v>12</v>
      </c>
      <c r="R23" s="102"/>
    </row>
    <row r="24" spans="1:18">
      <c r="A24" s="118" t="s">
        <v>6</v>
      </c>
      <c r="B24" s="119">
        <f>SUM(B2:B22)</f>
        <v>7733998</v>
      </c>
      <c r="C24" s="119">
        <f>SUM(C2:C22)</f>
        <v>7643076</v>
      </c>
      <c r="D24" s="119">
        <f>SUM(D2:D22)</f>
        <v>90922</v>
      </c>
      <c r="E24" s="118"/>
      <c r="F24" s="102"/>
      <c r="G24" s="102"/>
      <c r="H24" s="102"/>
      <c r="I24" s="102"/>
      <c r="J24" s="102"/>
      <c r="K24" s="102"/>
      <c r="L24" s="102"/>
      <c r="M24" s="102"/>
      <c r="N24" s="102"/>
      <c r="O24" s="102">
        <v>21</v>
      </c>
      <c r="P24" s="102">
        <v>10</v>
      </c>
      <c r="Q24" s="102">
        <v>11</v>
      </c>
      <c r="R24" s="102"/>
    </row>
    <row r="25" spans="1:18">
      <c r="A25" s="102"/>
      <c r="B25" s="102"/>
      <c r="C25" s="102"/>
      <c r="D25" s="102"/>
      <c r="E25" s="102"/>
      <c r="F25" s="102"/>
      <c r="G25" s="18">
        <f>SUM(G2:G23)</f>
        <v>218371776</v>
      </c>
      <c r="H25" s="18">
        <f>SUM(H2:H23)</f>
        <v>215644116</v>
      </c>
      <c r="I25" s="18">
        <f>SUM(I2:I23)</f>
        <v>2727660</v>
      </c>
      <c r="J25" s="102"/>
      <c r="K25" s="102"/>
      <c r="L25" s="102"/>
      <c r="M25" s="102"/>
      <c r="N25" s="102"/>
      <c r="O25" s="102">
        <v>22</v>
      </c>
      <c r="P25" s="102">
        <v>9</v>
      </c>
      <c r="Q25" s="102">
        <v>10</v>
      </c>
      <c r="R25" s="102"/>
    </row>
    <row r="26" spans="1:18">
      <c r="A26" s="102"/>
      <c r="B26" s="102"/>
      <c r="C26" s="102"/>
      <c r="D26" s="102"/>
      <c r="E26" s="102"/>
      <c r="F26" s="102"/>
      <c r="G26" s="102" t="s">
        <v>62</v>
      </c>
      <c r="H26" s="102" t="s">
        <v>36</v>
      </c>
      <c r="I26" s="102" t="s">
        <v>37</v>
      </c>
      <c r="J26" s="102"/>
      <c r="K26" s="102"/>
      <c r="L26" s="102"/>
      <c r="M26" s="102"/>
      <c r="N26" s="102"/>
      <c r="O26" s="102">
        <v>23</v>
      </c>
      <c r="P26" s="102">
        <v>8</v>
      </c>
      <c r="Q26" s="102">
        <v>9</v>
      </c>
      <c r="R26" s="102"/>
    </row>
    <row r="27" spans="1:18">
      <c r="A27" s="102"/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>
        <v>24</v>
      </c>
      <c r="P27" s="102">
        <v>7</v>
      </c>
      <c r="Q27" s="102">
        <v>8</v>
      </c>
      <c r="R27" s="102"/>
    </row>
    <row r="28" spans="1:18">
      <c r="A28" s="102"/>
      <c r="B28" s="102"/>
      <c r="C28" s="102"/>
      <c r="D28" s="102"/>
      <c r="E28" s="102"/>
      <c r="F28" s="102" t="s">
        <v>25</v>
      </c>
      <c r="G28" s="102"/>
      <c r="H28" s="102"/>
      <c r="I28" s="102"/>
      <c r="J28" s="102"/>
      <c r="K28" s="102"/>
      <c r="L28" s="102"/>
      <c r="M28" s="102"/>
      <c r="N28" s="102"/>
      <c r="O28" s="102">
        <v>25</v>
      </c>
      <c r="P28" s="102">
        <v>6</v>
      </c>
      <c r="Q28" s="102">
        <v>7</v>
      </c>
      <c r="R28" s="102"/>
    </row>
    <row r="29" spans="1:18">
      <c r="A29" s="102"/>
      <c r="B29" s="102"/>
      <c r="C29" s="102"/>
      <c r="D29" s="41"/>
      <c r="E29" s="41" t="s">
        <v>85</v>
      </c>
      <c r="F29" s="102"/>
      <c r="G29" s="102"/>
      <c r="H29" s="102"/>
      <c r="I29" s="102"/>
      <c r="J29" s="102"/>
      <c r="K29" s="102"/>
      <c r="L29" s="102"/>
      <c r="M29" s="102"/>
      <c r="N29" s="102"/>
      <c r="O29" s="102">
        <v>26</v>
      </c>
      <c r="P29" s="102">
        <v>5</v>
      </c>
      <c r="Q29" s="102">
        <v>6</v>
      </c>
      <c r="R29" s="102"/>
    </row>
    <row r="30" spans="1:18">
      <c r="A30" s="102"/>
      <c r="B30" s="102"/>
      <c r="C30" s="102"/>
      <c r="D30" s="42">
        <v>7245474</v>
      </c>
      <c r="E30" s="41" t="s">
        <v>95</v>
      </c>
      <c r="F30" s="102"/>
      <c r="G30" s="18">
        <f>G25*100000/365000000</f>
        <v>59827.883835616442</v>
      </c>
      <c r="H30" s="18">
        <f>G30*H25/G25</f>
        <v>59080.579726027405</v>
      </c>
      <c r="I30" s="18">
        <f>G30*I25/G25</f>
        <v>747.30410958904122</v>
      </c>
      <c r="J30" s="102"/>
      <c r="K30" s="102"/>
      <c r="L30" s="102"/>
      <c r="M30" s="102"/>
      <c r="N30" s="102"/>
      <c r="O30" s="102">
        <v>27</v>
      </c>
      <c r="P30" s="102">
        <v>4</v>
      </c>
      <c r="Q30" s="102">
        <v>5</v>
      </c>
      <c r="R30" s="102"/>
    </row>
    <row r="31" spans="1:18">
      <c r="A31" s="102"/>
      <c r="B31" s="102"/>
      <c r="C31" s="102"/>
      <c r="D31" s="42">
        <v>3200900</v>
      </c>
      <c r="E31" s="54" t="s">
        <v>1262</v>
      </c>
      <c r="F31" s="102"/>
      <c r="G31" s="9" t="s">
        <v>1053</v>
      </c>
      <c r="H31" s="9" t="s">
        <v>38</v>
      </c>
      <c r="I31" s="9" t="s">
        <v>39</v>
      </c>
      <c r="J31" s="102"/>
      <c r="K31" s="102"/>
      <c r="L31" s="102"/>
      <c r="M31" s="102"/>
      <c r="N31" s="102"/>
      <c r="O31" s="102">
        <v>28</v>
      </c>
      <c r="P31" s="102">
        <v>3</v>
      </c>
      <c r="Q31" s="102">
        <v>4</v>
      </c>
      <c r="R31" s="102"/>
    </row>
    <row r="32" spans="1:18">
      <c r="A32" s="102"/>
      <c r="B32" s="120"/>
      <c r="C32" s="102"/>
      <c r="D32" s="42">
        <v>2400000</v>
      </c>
      <c r="E32" s="41" t="s">
        <v>1263</v>
      </c>
      <c r="F32" s="102"/>
      <c r="G32" s="102"/>
      <c r="H32" s="102"/>
      <c r="I32" s="102"/>
      <c r="J32" s="102"/>
      <c r="K32" s="102"/>
      <c r="L32" s="102"/>
      <c r="M32" s="102"/>
      <c r="N32" s="102"/>
      <c r="O32" s="102">
        <v>29</v>
      </c>
      <c r="P32" s="102">
        <v>2</v>
      </c>
      <c r="Q32" s="102">
        <v>3</v>
      </c>
      <c r="R32" s="102"/>
    </row>
    <row r="33" spans="1:18">
      <c r="A33" s="102"/>
      <c r="B33" s="102"/>
      <c r="C33" s="102"/>
      <c r="D33" s="42">
        <v>5559526</v>
      </c>
      <c r="E33" s="41" t="s">
        <v>1272</v>
      </c>
      <c r="F33" s="102"/>
      <c r="G33" s="102"/>
      <c r="H33" s="102"/>
      <c r="I33" s="102"/>
      <c r="J33" s="102"/>
      <c r="K33" s="102"/>
      <c r="L33" s="102"/>
      <c r="M33" s="102"/>
      <c r="N33" s="102"/>
      <c r="O33" s="102">
        <v>30</v>
      </c>
      <c r="P33" s="102">
        <v>1</v>
      </c>
      <c r="Q33" s="102">
        <v>2</v>
      </c>
      <c r="R33" s="102"/>
    </row>
    <row r="34" spans="1:18">
      <c r="A34" s="102"/>
      <c r="B34" s="102"/>
      <c r="C34" s="102"/>
      <c r="D34" s="42">
        <v>-3000000</v>
      </c>
      <c r="E34" s="41" t="s">
        <v>1286</v>
      </c>
      <c r="F34" s="102"/>
      <c r="G34" s="102"/>
      <c r="H34" s="102"/>
      <c r="I34" s="102"/>
      <c r="J34" s="102"/>
      <c r="K34" s="102"/>
      <c r="L34" s="102"/>
      <c r="M34" s="102"/>
      <c r="N34" s="102"/>
      <c r="O34" s="102">
        <v>31</v>
      </c>
      <c r="P34" s="102">
        <v>0</v>
      </c>
      <c r="Q34" s="102">
        <v>1</v>
      </c>
      <c r="R34" s="102"/>
    </row>
    <row r="35" spans="1:18">
      <c r="A35" s="102"/>
      <c r="B35" s="102"/>
      <c r="C35" s="102"/>
      <c r="D35" s="42">
        <v>0</v>
      </c>
      <c r="E35" s="41"/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 t="s">
        <v>60</v>
      </c>
      <c r="Q35" s="102" t="s">
        <v>61</v>
      </c>
      <c r="R35" s="102"/>
    </row>
    <row r="36" spans="1:18">
      <c r="A36" s="102"/>
      <c r="B36" s="102"/>
      <c r="C36" s="102"/>
      <c r="D36" s="42">
        <v>0</v>
      </c>
      <c r="E36" s="41"/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</row>
    <row r="37" spans="1:18">
      <c r="A37" s="102"/>
      <c r="B37" s="102"/>
      <c r="C37" s="102"/>
      <c r="D37" s="120">
        <v>0</v>
      </c>
      <c r="E37" s="41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</row>
    <row r="38" spans="1:18">
      <c r="A38" s="102"/>
      <c r="B38" s="102"/>
      <c r="C38" s="102"/>
      <c r="D38" s="120">
        <v>0</v>
      </c>
      <c r="E38" s="41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</row>
    <row r="39" spans="1:18">
      <c r="A39" s="102"/>
      <c r="B39" s="102"/>
      <c r="C39" s="102"/>
      <c r="D39" s="120">
        <v>0</v>
      </c>
      <c r="E39" s="41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</row>
    <row r="40" spans="1:18">
      <c r="A40" s="102"/>
      <c r="B40" s="102"/>
      <c r="C40" s="102"/>
      <c r="D40" s="120"/>
      <c r="E40" s="41"/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</row>
    <row r="41" spans="1:18">
      <c r="A41" s="102"/>
      <c r="B41" s="102"/>
      <c r="C41" s="102"/>
      <c r="D41" s="120"/>
      <c r="E41" s="41"/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</row>
    <row r="42" spans="1:18">
      <c r="A42" s="102"/>
      <c r="B42" s="102"/>
      <c r="C42" s="102"/>
      <c r="D42" s="120">
        <f>SUM(D30:D39)</f>
        <v>15405900</v>
      </c>
      <c r="E42" s="102" t="s">
        <v>6</v>
      </c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</row>
    <row r="43" spans="1:18">
      <c r="A43" s="102"/>
      <c r="B43" s="102"/>
      <c r="C43" s="102"/>
      <c r="D43" s="120"/>
      <c r="E43" s="41"/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</row>
    <row r="44" spans="1:18">
      <c r="A44" s="102"/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</row>
    <row r="45" spans="1:18">
      <c r="A45" s="102"/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</row>
    <row r="46" spans="1:18">
      <c r="A46" s="102"/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</row>
    <row r="47" spans="1:18">
      <c r="A47" s="102"/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</row>
    <row r="48" spans="1:18">
      <c r="A48" s="102"/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</row>
    <row r="49" spans="1:18">
      <c r="A49" s="102"/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H21" sqref="H21"/>
    </sheetView>
  </sheetViews>
  <sheetFormatPr defaultRowHeight="15"/>
  <cols>
    <col min="1" max="1" width="9.7109375" bestFit="1" customWidth="1"/>
    <col min="2" max="4" width="16.140625" bestFit="1" customWidth="1"/>
    <col min="5" max="5" width="30.855468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" bestFit="1" customWidth="1"/>
    <col min="11" max="11" width="7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63</v>
      </c>
      <c r="B2" s="1">
        <f>اردیبهشت95!B24</f>
        <v>21343700</v>
      </c>
      <c r="C2" s="1">
        <f>اردیبهشت95!C24</f>
        <v>11412200</v>
      </c>
      <c r="D2" s="3">
        <f>B2-C2</f>
        <v>9931500</v>
      </c>
      <c r="E2" s="2" t="s">
        <v>59</v>
      </c>
      <c r="F2">
        <v>31</v>
      </c>
      <c r="G2">
        <f>B2*F2</f>
        <v>661654700</v>
      </c>
      <c r="H2">
        <f>C2*F2</f>
        <v>353778200</v>
      </c>
      <c r="I2">
        <f>D2*F2</f>
        <v>307876500</v>
      </c>
      <c r="O2">
        <v>2</v>
      </c>
      <c r="P2">
        <v>29</v>
      </c>
      <c r="Q2">
        <v>30</v>
      </c>
    </row>
    <row r="3" spans="1:17">
      <c r="A3" s="4">
        <v>34702</v>
      </c>
      <c r="B3" s="1">
        <v>271089</v>
      </c>
      <c r="C3" s="1">
        <v>147452</v>
      </c>
      <c r="D3" s="3">
        <f>B3-C3</f>
        <v>123637</v>
      </c>
      <c r="E3" s="5" t="s">
        <v>31</v>
      </c>
      <c r="F3">
        <v>30</v>
      </c>
      <c r="G3">
        <f t="shared" ref="G3:G11" si="0">B3*F3</f>
        <v>8132670</v>
      </c>
      <c r="H3">
        <f t="shared" ref="H3:H11" si="1">C3*F3</f>
        <v>4423560</v>
      </c>
      <c r="I3">
        <f t="shared" ref="I3:I11" si="2">D3*F3</f>
        <v>3709110</v>
      </c>
      <c r="O3">
        <v>3</v>
      </c>
      <c r="P3">
        <v>28</v>
      </c>
      <c r="Q3">
        <v>29</v>
      </c>
    </row>
    <row r="4" spans="1:17">
      <c r="A4" s="4">
        <v>34761</v>
      </c>
      <c r="B4" s="1">
        <v>-1505700</v>
      </c>
      <c r="C4" s="1">
        <v>0</v>
      </c>
      <c r="D4" s="3">
        <f t="shared" ref="D4:D9" si="3">B4-C4</f>
        <v>-1505700</v>
      </c>
      <c r="E4" s="2" t="s">
        <v>32</v>
      </c>
      <c r="F4">
        <v>29</v>
      </c>
      <c r="G4">
        <f t="shared" si="0"/>
        <v>-43665300</v>
      </c>
      <c r="H4">
        <f t="shared" si="1"/>
        <v>0</v>
      </c>
      <c r="I4">
        <f t="shared" si="2"/>
        <v>-43665300</v>
      </c>
      <c r="O4">
        <v>4</v>
      </c>
      <c r="P4">
        <v>27</v>
      </c>
      <c r="Q4">
        <v>28</v>
      </c>
    </row>
    <row r="5" spans="1:17">
      <c r="A5" s="4">
        <v>34853</v>
      </c>
      <c r="B5" s="1">
        <v>3000000</v>
      </c>
      <c r="C5" s="1">
        <v>0</v>
      </c>
      <c r="D5" s="3">
        <f t="shared" si="3"/>
        <v>3000000</v>
      </c>
      <c r="E5" s="2" t="s">
        <v>33</v>
      </c>
      <c r="F5">
        <v>25</v>
      </c>
      <c r="G5">
        <f t="shared" si="0"/>
        <v>75000000</v>
      </c>
      <c r="H5">
        <f t="shared" si="1"/>
        <v>0</v>
      </c>
      <c r="I5">
        <f t="shared" si="2"/>
        <v>75000000</v>
      </c>
      <c r="O5">
        <v>5</v>
      </c>
      <c r="P5">
        <v>26</v>
      </c>
      <c r="Q5">
        <v>27</v>
      </c>
    </row>
    <row r="6" spans="1:17">
      <c r="A6" s="4">
        <v>34883</v>
      </c>
      <c r="B6" s="1">
        <v>1000000</v>
      </c>
      <c r="C6" s="1">
        <v>0</v>
      </c>
      <c r="D6" s="3">
        <f t="shared" si="3"/>
        <v>1000000</v>
      </c>
      <c r="E6" s="2" t="s">
        <v>34</v>
      </c>
      <c r="F6">
        <v>24</v>
      </c>
      <c r="G6">
        <f t="shared" si="0"/>
        <v>24000000</v>
      </c>
      <c r="H6">
        <f t="shared" si="1"/>
        <v>0</v>
      </c>
      <c r="I6">
        <f t="shared" si="2"/>
        <v>24000000</v>
      </c>
      <c r="O6">
        <v>6</v>
      </c>
      <c r="P6">
        <v>25</v>
      </c>
      <c r="Q6">
        <v>26</v>
      </c>
    </row>
    <row r="7" spans="1:17">
      <c r="A7" s="4">
        <v>34914</v>
      </c>
      <c r="B7" s="1">
        <v>-3000900</v>
      </c>
      <c r="C7" s="1">
        <v>0</v>
      </c>
      <c r="D7" s="3">
        <f t="shared" si="3"/>
        <v>-3000900</v>
      </c>
      <c r="E7" s="2" t="s">
        <v>43</v>
      </c>
      <c r="F7">
        <v>24</v>
      </c>
      <c r="G7">
        <f t="shared" si="0"/>
        <v>-72021600</v>
      </c>
      <c r="H7">
        <f t="shared" si="1"/>
        <v>0</v>
      </c>
      <c r="I7">
        <f t="shared" si="2"/>
        <v>-72021600</v>
      </c>
      <c r="O7">
        <v>7</v>
      </c>
      <c r="P7">
        <v>24</v>
      </c>
      <c r="Q7">
        <v>25</v>
      </c>
    </row>
    <row r="8" spans="1:17">
      <c r="A8" s="4" t="s">
        <v>44</v>
      </c>
      <c r="B8" s="1">
        <v>1500000</v>
      </c>
      <c r="C8" s="1">
        <v>0</v>
      </c>
      <c r="D8" s="3">
        <f t="shared" si="3"/>
        <v>1500000</v>
      </c>
      <c r="E8" s="2" t="s">
        <v>45</v>
      </c>
      <c r="F8">
        <v>8</v>
      </c>
      <c r="G8">
        <f t="shared" si="0"/>
        <v>12000000</v>
      </c>
      <c r="H8">
        <f t="shared" si="1"/>
        <v>0</v>
      </c>
      <c r="I8">
        <f t="shared" si="2"/>
        <v>12000000</v>
      </c>
      <c r="O8">
        <v>8</v>
      </c>
      <c r="P8">
        <v>23</v>
      </c>
      <c r="Q8">
        <v>24</v>
      </c>
    </row>
    <row r="9" spans="1:17">
      <c r="A9" s="4" t="s">
        <v>46</v>
      </c>
      <c r="B9" s="1">
        <v>-164000</v>
      </c>
      <c r="C9" s="1">
        <v>0</v>
      </c>
      <c r="D9" s="3">
        <f t="shared" si="3"/>
        <v>-164000</v>
      </c>
      <c r="E9" s="2" t="s">
        <v>47</v>
      </c>
      <c r="F9">
        <v>1</v>
      </c>
      <c r="G9">
        <f t="shared" si="0"/>
        <v>-164000</v>
      </c>
      <c r="H9">
        <f t="shared" si="1"/>
        <v>0</v>
      </c>
      <c r="I9">
        <f t="shared" si="2"/>
        <v>-164000</v>
      </c>
      <c r="O9">
        <v>9</v>
      </c>
      <c r="P9">
        <v>22</v>
      </c>
      <c r="Q9">
        <v>23</v>
      </c>
    </row>
    <row r="10" spans="1:17">
      <c r="A10" s="4"/>
      <c r="B10" s="1"/>
      <c r="C10" s="1"/>
      <c r="D10" s="3"/>
      <c r="E10" s="2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10</v>
      </c>
      <c r="P10">
        <v>21</v>
      </c>
      <c r="Q10">
        <v>22</v>
      </c>
    </row>
    <row r="11" spans="1:17">
      <c r="A11" s="4"/>
      <c r="B11" s="1"/>
      <c r="C11" s="1"/>
      <c r="D11" s="3"/>
      <c r="E11" s="2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11</v>
      </c>
      <c r="P11">
        <v>20</v>
      </c>
      <c r="Q11">
        <v>21</v>
      </c>
    </row>
    <row r="12" spans="1:17">
      <c r="A12" s="4"/>
      <c r="B12" s="1"/>
      <c r="C12" s="1"/>
      <c r="D12" s="3"/>
      <c r="E12" s="2"/>
      <c r="G12">
        <f>SUM(G2:G11)</f>
        <v>664936470</v>
      </c>
      <c r="H12">
        <f>SUM(H2:H11)</f>
        <v>358201760</v>
      </c>
      <c r="I12">
        <f>SUM(I2:I11)</f>
        <v>306734710</v>
      </c>
      <c r="O12">
        <v>12</v>
      </c>
      <c r="P12">
        <v>19</v>
      </c>
      <c r="Q12">
        <v>20</v>
      </c>
    </row>
    <row r="13" spans="1:17">
      <c r="A13" s="4"/>
      <c r="B13" s="1"/>
      <c r="C13" s="1"/>
      <c r="D13" s="3"/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>
      <c r="A14" s="4"/>
      <c r="B14" s="1"/>
      <c r="C14" s="1"/>
      <c r="D14" s="3"/>
      <c r="E14" s="2"/>
      <c r="O14">
        <v>14</v>
      </c>
      <c r="P14">
        <v>17</v>
      </c>
      <c r="Q14">
        <v>18</v>
      </c>
    </row>
    <row r="15" spans="1:17">
      <c r="A15" s="4"/>
      <c r="B15" s="1"/>
      <c r="C15" s="1"/>
      <c r="D15" s="3"/>
      <c r="E15" s="2"/>
      <c r="O15">
        <v>15</v>
      </c>
      <c r="P15">
        <v>16</v>
      </c>
      <c r="Q15">
        <v>17</v>
      </c>
    </row>
    <row r="16" spans="1:17">
      <c r="A16" s="2"/>
      <c r="B16" s="1"/>
      <c r="C16" s="1"/>
      <c r="D16" s="3"/>
      <c r="E16" s="2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3"/>
      <c r="E17" s="2"/>
      <c r="G17" s="1">
        <v>199393</v>
      </c>
      <c r="H17" s="1">
        <f>G17*H12/G12</f>
        <v>107413.15411934015</v>
      </c>
      <c r="I17" s="1">
        <f>G17*I12/G12</f>
        <v>91979.84588065985</v>
      </c>
      <c r="O17">
        <v>17</v>
      </c>
      <c r="P17">
        <v>14</v>
      </c>
      <c r="Q17">
        <v>15</v>
      </c>
    </row>
    <row r="18" spans="1:17">
      <c r="A18" s="2"/>
      <c r="B18" s="1"/>
      <c r="C18" s="1"/>
      <c r="D18" s="3"/>
      <c r="E18" s="2"/>
      <c r="G18" s="9" t="s">
        <v>64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22444189</v>
      </c>
      <c r="C21" s="3">
        <f>SUM(C2:C18)</f>
        <v>11559652</v>
      </c>
      <c r="D21" s="3">
        <f>SUM(D2:D18)</f>
        <v>10884537</v>
      </c>
      <c r="E21" s="2"/>
      <c r="O21">
        <v>21</v>
      </c>
      <c r="P21">
        <v>10</v>
      </c>
      <c r="Q21">
        <v>11</v>
      </c>
    </row>
    <row r="22" spans="1:17"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O24">
        <v>24</v>
      </c>
      <c r="P24">
        <v>7</v>
      </c>
      <c r="Q24">
        <v>8</v>
      </c>
    </row>
    <row r="25" spans="1:17">
      <c r="G25">
        <f>G12/31*(11/1200)</f>
        <v>196620.99919354837</v>
      </c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O28">
        <v>28</v>
      </c>
      <c r="P28">
        <v>3</v>
      </c>
      <c r="Q28">
        <v>4</v>
      </c>
    </row>
    <row r="29" spans="1:17">
      <c r="B29" s="7">
        <f>C2+D2</f>
        <v>21343700</v>
      </c>
      <c r="O29">
        <v>29</v>
      </c>
      <c r="P29">
        <v>2</v>
      </c>
      <c r="Q29">
        <v>3</v>
      </c>
    </row>
    <row r="30" spans="1:17">
      <c r="O30">
        <v>30</v>
      </c>
      <c r="P30">
        <v>1</v>
      </c>
      <c r="Q30">
        <v>2</v>
      </c>
    </row>
    <row r="31" spans="1:17"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I21" sqref="I21"/>
    </sheetView>
  </sheetViews>
  <sheetFormatPr defaultRowHeight="15"/>
  <cols>
    <col min="1" max="1" width="9.7109375" bestFit="1" customWidth="1"/>
    <col min="2" max="4" width="15.85546875" bestFit="1" customWidth="1"/>
    <col min="5" max="5" width="48.28515625" bestFit="1" customWidth="1"/>
    <col min="6" max="6" width="18.85546875" bestFit="1" customWidth="1"/>
    <col min="7" max="9" width="16.140625" bestFit="1" customWidth="1"/>
    <col min="10" max="11" width="12.42578125" bestFit="1" customWidth="1"/>
    <col min="12" max="13" width="15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58</v>
      </c>
      <c r="B2" s="1">
        <f>'خرداد 95'!B21</f>
        <v>22444189</v>
      </c>
      <c r="C2" s="1">
        <f>'خرداد 95'!C21</f>
        <v>11559652</v>
      </c>
      <c r="D2" s="3">
        <f>B2-C2</f>
        <v>10884537</v>
      </c>
      <c r="E2" s="2" t="s">
        <v>59</v>
      </c>
      <c r="F2">
        <v>31</v>
      </c>
      <c r="G2">
        <f>B2*F2</f>
        <v>695769859</v>
      </c>
      <c r="H2">
        <f>C2*F2</f>
        <v>358349212</v>
      </c>
      <c r="I2">
        <f>D2*F2</f>
        <v>337420647</v>
      </c>
      <c r="O2">
        <v>2</v>
      </c>
      <c r="P2">
        <v>29</v>
      </c>
      <c r="Q2">
        <v>30</v>
      </c>
    </row>
    <row r="3" spans="1:17">
      <c r="A3" s="4">
        <v>34703</v>
      </c>
      <c r="B3" s="1">
        <v>199393</v>
      </c>
      <c r="C3" s="1">
        <v>107413</v>
      </c>
      <c r="D3" s="3">
        <f t="shared" ref="D3:D18" si="0">B3-C3</f>
        <v>91980</v>
      </c>
      <c r="E3" s="5" t="s">
        <v>48</v>
      </c>
      <c r="F3">
        <v>30</v>
      </c>
      <c r="G3">
        <f t="shared" ref="G3:G11" si="1">B3*F3</f>
        <v>5981790</v>
      </c>
      <c r="H3">
        <f t="shared" ref="H3:H11" si="2">C3*F3</f>
        <v>3222390</v>
      </c>
      <c r="I3">
        <f t="shared" ref="I3:I11" si="3">D3*F3</f>
        <v>2759400</v>
      </c>
      <c r="O3">
        <v>3</v>
      </c>
      <c r="P3">
        <v>28</v>
      </c>
      <c r="Q3">
        <v>29</v>
      </c>
    </row>
    <row r="4" spans="1:17">
      <c r="A4" s="4">
        <v>34762</v>
      </c>
      <c r="B4" s="1">
        <v>-221000</v>
      </c>
      <c r="C4" s="1">
        <v>-221000</v>
      </c>
      <c r="D4" s="3">
        <f>B4-C4</f>
        <v>0</v>
      </c>
      <c r="E4" s="2" t="s">
        <v>49</v>
      </c>
      <c r="F4">
        <v>29</v>
      </c>
      <c r="G4">
        <f t="shared" si="1"/>
        <v>-6409000</v>
      </c>
      <c r="H4">
        <f t="shared" si="2"/>
        <v>-6409000</v>
      </c>
      <c r="I4">
        <f t="shared" si="3"/>
        <v>0</v>
      </c>
      <c r="O4">
        <v>4</v>
      </c>
      <c r="P4">
        <v>27</v>
      </c>
      <c r="Q4">
        <v>28</v>
      </c>
    </row>
    <row r="5" spans="1:17">
      <c r="A5" s="4">
        <v>34762</v>
      </c>
      <c r="B5" s="1">
        <v>-500500</v>
      </c>
      <c r="C5" s="1">
        <v>0</v>
      </c>
      <c r="D5" s="3">
        <f t="shared" si="0"/>
        <v>-500500</v>
      </c>
      <c r="E5" s="2" t="s">
        <v>50</v>
      </c>
      <c r="F5">
        <v>29</v>
      </c>
      <c r="G5">
        <f t="shared" si="1"/>
        <v>-14514500</v>
      </c>
      <c r="H5">
        <f t="shared" si="2"/>
        <v>0</v>
      </c>
      <c r="I5">
        <f t="shared" si="3"/>
        <v>-14514500</v>
      </c>
      <c r="O5">
        <v>5</v>
      </c>
      <c r="P5">
        <v>26</v>
      </c>
      <c r="Q5">
        <v>27</v>
      </c>
    </row>
    <row r="6" spans="1:17">
      <c r="A6" s="4">
        <v>34762</v>
      </c>
      <c r="B6" s="1">
        <v>-15000000</v>
      </c>
      <c r="C6" s="1">
        <v>-15000000</v>
      </c>
      <c r="D6" s="3">
        <f t="shared" si="0"/>
        <v>0</v>
      </c>
      <c r="E6" s="2" t="s">
        <v>51</v>
      </c>
      <c r="F6">
        <v>29</v>
      </c>
      <c r="G6">
        <f t="shared" si="1"/>
        <v>-435000000</v>
      </c>
      <c r="H6">
        <f t="shared" si="2"/>
        <v>-435000000</v>
      </c>
      <c r="I6">
        <f t="shared" si="3"/>
        <v>0</v>
      </c>
      <c r="O6">
        <v>6</v>
      </c>
      <c r="P6">
        <v>25</v>
      </c>
      <c r="Q6">
        <v>26</v>
      </c>
    </row>
    <row r="7" spans="1:17">
      <c r="A7" s="4" t="s">
        <v>52</v>
      </c>
      <c r="B7" s="1">
        <v>-3010900</v>
      </c>
      <c r="C7" s="1">
        <v>0</v>
      </c>
      <c r="D7" s="3">
        <f t="shared" si="0"/>
        <v>-3010900</v>
      </c>
      <c r="E7" s="2" t="s">
        <v>53</v>
      </c>
      <c r="F7">
        <v>12</v>
      </c>
      <c r="G7">
        <f t="shared" si="1"/>
        <v>-36130800</v>
      </c>
      <c r="H7">
        <f t="shared" si="2"/>
        <v>0</v>
      </c>
      <c r="I7">
        <f t="shared" si="3"/>
        <v>-36130800</v>
      </c>
      <c r="O7">
        <v>7</v>
      </c>
      <c r="P7">
        <v>24</v>
      </c>
      <c r="Q7">
        <v>25</v>
      </c>
    </row>
    <row r="8" spans="1:17">
      <c r="A8" s="4" t="s">
        <v>54</v>
      </c>
      <c r="B8" s="1">
        <v>-3005900</v>
      </c>
      <c r="C8" s="1">
        <v>0</v>
      </c>
      <c r="D8" s="3">
        <f t="shared" si="0"/>
        <v>-3005900</v>
      </c>
      <c r="E8" s="2" t="s">
        <v>53</v>
      </c>
      <c r="F8">
        <v>10</v>
      </c>
      <c r="G8">
        <f t="shared" si="1"/>
        <v>-30059000</v>
      </c>
      <c r="H8">
        <f t="shared" si="2"/>
        <v>0</v>
      </c>
      <c r="I8">
        <f t="shared" si="3"/>
        <v>-30059000</v>
      </c>
      <c r="O8">
        <v>8</v>
      </c>
      <c r="P8">
        <v>23</v>
      </c>
      <c r="Q8">
        <v>24</v>
      </c>
    </row>
    <row r="9" spans="1:17">
      <c r="A9" s="4" t="s">
        <v>55</v>
      </c>
      <c r="B9" s="1">
        <v>-895500</v>
      </c>
      <c r="C9" s="1">
        <v>0</v>
      </c>
      <c r="D9" s="3">
        <f t="shared" si="0"/>
        <v>-895500</v>
      </c>
      <c r="E9" s="2" t="s">
        <v>53</v>
      </c>
      <c r="F9">
        <v>9</v>
      </c>
      <c r="G9">
        <f t="shared" si="1"/>
        <v>-8059500</v>
      </c>
      <c r="H9">
        <f t="shared" si="2"/>
        <v>0</v>
      </c>
      <c r="I9">
        <f t="shared" si="3"/>
        <v>-8059500</v>
      </c>
      <c r="O9">
        <v>9</v>
      </c>
      <c r="P9">
        <v>22</v>
      </c>
      <c r="Q9">
        <v>23</v>
      </c>
    </row>
    <row r="10" spans="1:17">
      <c r="A10" s="4" t="s">
        <v>55</v>
      </c>
      <c r="B10" s="1">
        <v>0</v>
      </c>
      <c r="C10" s="1">
        <v>1000000</v>
      </c>
      <c r="D10" s="3">
        <f t="shared" si="0"/>
        <v>-1000000</v>
      </c>
      <c r="E10" s="2" t="s">
        <v>56</v>
      </c>
      <c r="F10">
        <v>9</v>
      </c>
      <c r="G10">
        <f t="shared" si="1"/>
        <v>0</v>
      </c>
      <c r="H10">
        <f t="shared" si="2"/>
        <v>9000000</v>
      </c>
      <c r="I10">
        <f t="shared" si="3"/>
        <v>-9000000</v>
      </c>
      <c r="O10">
        <v>10</v>
      </c>
      <c r="P10">
        <v>21</v>
      </c>
      <c r="Q10">
        <v>22</v>
      </c>
    </row>
    <row r="11" spans="1:17">
      <c r="A11" s="4"/>
      <c r="B11" s="1"/>
      <c r="C11" s="1"/>
      <c r="D11" s="3">
        <f t="shared" si="0"/>
        <v>0</v>
      </c>
      <c r="E11" s="2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11</v>
      </c>
      <c r="P11">
        <v>20</v>
      </c>
      <c r="Q11">
        <v>21</v>
      </c>
    </row>
    <row r="12" spans="1:17">
      <c r="A12" s="4"/>
      <c r="B12" s="1"/>
      <c r="C12" s="1"/>
      <c r="D12" s="3">
        <f t="shared" si="0"/>
        <v>0</v>
      </c>
      <c r="E12" s="2"/>
      <c r="G12">
        <f>SUM(G2:G11)</f>
        <v>171578849</v>
      </c>
      <c r="H12">
        <f>SUM(H2:H11)</f>
        <v>-70837398</v>
      </c>
      <c r="I12">
        <f>SUM(I2:I11)</f>
        <v>242416247</v>
      </c>
      <c r="O12">
        <v>12</v>
      </c>
      <c r="P12">
        <v>19</v>
      </c>
      <c r="Q12">
        <v>20</v>
      </c>
    </row>
    <row r="13" spans="1:17">
      <c r="A13" s="4"/>
      <c r="B13" s="1"/>
      <c r="C13" s="1"/>
      <c r="D13" s="3">
        <f t="shared" si="0"/>
        <v>0</v>
      </c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>
      <c r="A14" s="4"/>
      <c r="B14" s="1"/>
      <c r="C14" s="1"/>
      <c r="D14" s="3">
        <f t="shared" si="0"/>
        <v>0</v>
      </c>
      <c r="E14" s="2"/>
      <c r="O14">
        <v>14</v>
      </c>
      <c r="P14">
        <v>17</v>
      </c>
      <c r="Q14">
        <v>18</v>
      </c>
    </row>
    <row r="15" spans="1:17">
      <c r="A15" s="4"/>
      <c r="B15" s="1"/>
      <c r="C15" s="1"/>
      <c r="D15" s="3">
        <f t="shared" si="0"/>
        <v>0</v>
      </c>
      <c r="E15" s="2"/>
      <c r="O15">
        <v>15</v>
      </c>
      <c r="P15">
        <v>16</v>
      </c>
      <c r="Q15">
        <v>17</v>
      </c>
    </row>
    <row r="16" spans="1:17">
      <c r="A16" s="2"/>
      <c r="B16" s="1" t="s">
        <v>25</v>
      </c>
      <c r="C16" s="1"/>
      <c r="D16" s="3">
        <v>0</v>
      </c>
      <c r="E16" s="2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3">
        <f t="shared" si="0"/>
        <v>0</v>
      </c>
      <c r="E17" s="2"/>
      <c r="G17" s="1">
        <v>52472</v>
      </c>
      <c r="H17" s="1">
        <f>G17*H12/G12</f>
        <v>-21663.39248409342</v>
      </c>
      <c r="I17" s="1">
        <f>I12*G17/G12</f>
        <v>74135.39248409342</v>
      </c>
      <c r="O17">
        <v>17</v>
      </c>
      <c r="P17">
        <v>14</v>
      </c>
      <c r="Q17">
        <v>15</v>
      </c>
    </row>
    <row r="18" spans="1:17">
      <c r="A18" s="2"/>
      <c r="B18" s="1"/>
      <c r="C18" s="1"/>
      <c r="D18" s="3">
        <f t="shared" si="0"/>
        <v>0</v>
      </c>
      <c r="E18" s="2"/>
      <c r="G18" s="9" t="s">
        <v>65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9782</v>
      </c>
      <c r="C21" s="3">
        <f>SUM(C2:C18)</f>
        <v>-2553935</v>
      </c>
      <c r="D21" s="3">
        <f>SUM(D2:D18)</f>
        <v>2563717</v>
      </c>
      <c r="E21" s="2"/>
      <c r="O21">
        <v>21</v>
      </c>
      <c r="P21">
        <v>10</v>
      </c>
      <c r="Q21">
        <v>11</v>
      </c>
    </row>
    <row r="22" spans="1:17"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O24">
        <v>24</v>
      </c>
      <c r="P24">
        <v>7</v>
      </c>
      <c r="Q24">
        <v>8</v>
      </c>
    </row>
    <row r="25" spans="1:17"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O28">
        <v>28</v>
      </c>
      <c r="P28">
        <v>3</v>
      </c>
      <c r="Q28">
        <v>4</v>
      </c>
    </row>
    <row r="29" spans="1:17">
      <c r="B29" s="7"/>
      <c r="O29">
        <v>29</v>
      </c>
      <c r="P29">
        <v>2</v>
      </c>
      <c r="Q29">
        <v>3</v>
      </c>
    </row>
    <row r="30" spans="1:17">
      <c r="O30">
        <v>30</v>
      </c>
      <c r="P30">
        <v>1</v>
      </c>
      <c r="Q30">
        <v>2</v>
      </c>
    </row>
    <row r="31" spans="1:17"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G27" sqref="G27"/>
    </sheetView>
  </sheetViews>
  <sheetFormatPr defaultRowHeight="15"/>
  <cols>
    <col min="1" max="1" width="9.7109375" bestFit="1" customWidth="1"/>
    <col min="2" max="4" width="15.85546875" bestFit="1" customWidth="1"/>
    <col min="5" max="5" width="47.71093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.42578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69</v>
      </c>
      <c r="B2" s="3">
        <f>تیرماه95!B21</f>
        <v>9782</v>
      </c>
      <c r="C2" s="1">
        <f>تیرماه95!C21</f>
        <v>-2553935</v>
      </c>
      <c r="D2" s="3">
        <f>B2-C2</f>
        <v>2563717</v>
      </c>
      <c r="E2" s="2" t="s">
        <v>59</v>
      </c>
      <c r="F2">
        <v>31</v>
      </c>
      <c r="G2">
        <f>B2*F2</f>
        <v>303242</v>
      </c>
      <c r="H2">
        <f>C2*F2</f>
        <v>-79171985</v>
      </c>
      <c r="I2">
        <f>D2*F2</f>
        <v>79475227</v>
      </c>
      <c r="O2">
        <v>2</v>
      </c>
      <c r="P2">
        <v>29</v>
      </c>
      <c r="Q2">
        <v>30</v>
      </c>
    </row>
    <row r="3" spans="1:17">
      <c r="A3" s="4" t="s">
        <v>57</v>
      </c>
      <c r="B3" s="1">
        <v>52472</v>
      </c>
      <c r="C3" s="1">
        <v>-21663</v>
      </c>
      <c r="D3" s="3">
        <f t="shared" ref="D3:D19" si="0">B3-C3</f>
        <v>74135</v>
      </c>
      <c r="E3" s="5" t="s">
        <v>68</v>
      </c>
      <c r="F3">
        <v>30</v>
      </c>
      <c r="G3">
        <f t="shared" ref="G3:G15" si="1">B3*F3</f>
        <v>1574160</v>
      </c>
      <c r="H3">
        <f t="shared" ref="H3:H15" si="2">C3*F3</f>
        <v>-649890</v>
      </c>
      <c r="I3">
        <f t="shared" ref="I3:I15" si="3">D3*F3</f>
        <v>2224050</v>
      </c>
      <c r="O3">
        <v>3</v>
      </c>
      <c r="P3">
        <v>28</v>
      </c>
      <c r="Q3">
        <v>29</v>
      </c>
    </row>
    <row r="4" spans="1:17">
      <c r="A4" s="4" t="s">
        <v>57</v>
      </c>
      <c r="B4" s="1">
        <v>0</v>
      </c>
      <c r="C4" s="1">
        <v>21663</v>
      </c>
      <c r="D4" s="3">
        <f t="shared" si="0"/>
        <v>-21663</v>
      </c>
      <c r="E4" s="2" t="s">
        <v>70</v>
      </c>
      <c r="F4">
        <v>30</v>
      </c>
      <c r="G4">
        <f t="shared" si="1"/>
        <v>0</v>
      </c>
      <c r="H4">
        <f t="shared" si="2"/>
        <v>649890</v>
      </c>
      <c r="I4">
        <f t="shared" si="3"/>
        <v>-649890</v>
      </c>
      <c r="O4">
        <v>4</v>
      </c>
      <c r="P4">
        <v>27</v>
      </c>
      <c r="Q4">
        <v>28</v>
      </c>
    </row>
    <row r="5" spans="1:17">
      <c r="A5" s="11" t="s">
        <v>80</v>
      </c>
      <c r="B5" s="1">
        <v>-55000</v>
      </c>
      <c r="C5" s="1">
        <v>0</v>
      </c>
      <c r="D5" s="14">
        <f t="shared" si="0"/>
        <v>-55000</v>
      </c>
      <c r="E5" s="12" t="s">
        <v>81</v>
      </c>
      <c r="F5">
        <v>21</v>
      </c>
      <c r="G5">
        <f t="shared" si="1"/>
        <v>-1155000</v>
      </c>
      <c r="H5">
        <f t="shared" si="2"/>
        <v>0</v>
      </c>
      <c r="I5">
        <f t="shared" si="3"/>
        <v>-1155000</v>
      </c>
      <c r="O5">
        <v>5</v>
      </c>
      <c r="P5">
        <v>26</v>
      </c>
      <c r="Q5">
        <v>27</v>
      </c>
    </row>
    <row r="6" spans="1:17">
      <c r="A6" s="4" t="s">
        <v>71</v>
      </c>
      <c r="B6" s="1">
        <v>3000000</v>
      </c>
      <c r="C6" s="1">
        <v>3000000</v>
      </c>
      <c r="D6" s="3">
        <f t="shared" si="0"/>
        <v>0</v>
      </c>
      <c r="E6" s="2" t="s">
        <v>72</v>
      </c>
      <c r="F6">
        <v>19</v>
      </c>
      <c r="G6">
        <f t="shared" si="1"/>
        <v>57000000</v>
      </c>
      <c r="H6">
        <f t="shared" si="2"/>
        <v>57000000</v>
      </c>
      <c r="I6">
        <f t="shared" si="3"/>
        <v>0</v>
      </c>
      <c r="O6">
        <v>6</v>
      </c>
      <c r="P6">
        <v>25</v>
      </c>
      <c r="Q6">
        <v>26</v>
      </c>
    </row>
    <row r="7" spans="1:17">
      <c r="A7" s="4" t="s">
        <v>73</v>
      </c>
      <c r="B7" s="1">
        <v>2500000</v>
      </c>
      <c r="C7" s="1">
        <v>2500000</v>
      </c>
      <c r="D7" s="3">
        <f t="shared" si="0"/>
        <v>0</v>
      </c>
      <c r="E7" s="2" t="s">
        <v>74</v>
      </c>
      <c r="F7">
        <v>18</v>
      </c>
      <c r="G7">
        <f t="shared" si="1"/>
        <v>45000000</v>
      </c>
      <c r="H7">
        <f t="shared" si="2"/>
        <v>45000000</v>
      </c>
      <c r="I7">
        <f t="shared" si="3"/>
        <v>0</v>
      </c>
      <c r="O7">
        <v>7</v>
      </c>
      <c r="P7">
        <v>24</v>
      </c>
      <c r="Q7">
        <v>25</v>
      </c>
    </row>
    <row r="8" spans="1:17">
      <c r="A8" s="4" t="s">
        <v>73</v>
      </c>
      <c r="B8" s="1">
        <v>-50000</v>
      </c>
      <c r="C8" s="1">
        <v>0</v>
      </c>
      <c r="D8" s="14">
        <f t="shared" si="0"/>
        <v>-50000</v>
      </c>
      <c r="E8" s="13" t="s">
        <v>75</v>
      </c>
      <c r="F8">
        <v>19</v>
      </c>
      <c r="G8">
        <f t="shared" si="1"/>
        <v>-950000</v>
      </c>
      <c r="H8">
        <f t="shared" si="2"/>
        <v>0</v>
      </c>
      <c r="I8">
        <f t="shared" si="3"/>
        <v>-950000</v>
      </c>
      <c r="O8">
        <v>8</v>
      </c>
      <c r="P8">
        <v>23</v>
      </c>
      <c r="Q8">
        <v>24</v>
      </c>
    </row>
    <row r="9" spans="1:17">
      <c r="A9" s="4" t="s">
        <v>73</v>
      </c>
      <c r="B9" s="1">
        <v>3000000</v>
      </c>
      <c r="C9" s="1">
        <v>0</v>
      </c>
      <c r="D9" s="3">
        <f t="shared" si="0"/>
        <v>3000000</v>
      </c>
      <c r="E9" s="2" t="s">
        <v>82</v>
      </c>
      <c r="F9">
        <v>18</v>
      </c>
      <c r="G9">
        <f t="shared" si="1"/>
        <v>54000000</v>
      </c>
      <c r="H9">
        <f t="shared" si="2"/>
        <v>0</v>
      </c>
      <c r="I9">
        <f t="shared" si="3"/>
        <v>54000000</v>
      </c>
      <c r="O9">
        <v>9</v>
      </c>
      <c r="P9">
        <v>22</v>
      </c>
      <c r="Q9">
        <v>23</v>
      </c>
    </row>
    <row r="10" spans="1:17">
      <c r="A10" s="4" t="s">
        <v>76</v>
      </c>
      <c r="B10" s="1">
        <v>-89200</v>
      </c>
      <c r="C10" s="1">
        <v>0</v>
      </c>
      <c r="D10" s="14">
        <f t="shared" si="0"/>
        <v>-89200</v>
      </c>
      <c r="E10" s="13" t="s">
        <v>77</v>
      </c>
      <c r="F10">
        <v>16</v>
      </c>
      <c r="G10">
        <f t="shared" si="1"/>
        <v>-1427200</v>
      </c>
      <c r="H10">
        <f t="shared" si="2"/>
        <v>0</v>
      </c>
      <c r="I10">
        <f t="shared" si="3"/>
        <v>-1427200</v>
      </c>
      <c r="O10">
        <v>10</v>
      </c>
      <c r="P10">
        <v>21</v>
      </c>
      <c r="Q10">
        <v>22</v>
      </c>
    </row>
    <row r="11" spans="1:17">
      <c r="A11" s="4" t="s">
        <v>78</v>
      </c>
      <c r="B11" s="1">
        <v>-200000</v>
      </c>
      <c r="C11" s="1">
        <v>0</v>
      </c>
      <c r="D11" s="14">
        <f t="shared" si="0"/>
        <v>-200000</v>
      </c>
      <c r="E11" s="13" t="s">
        <v>79</v>
      </c>
      <c r="F11">
        <v>12</v>
      </c>
      <c r="G11">
        <f t="shared" si="1"/>
        <v>-2400000</v>
      </c>
      <c r="H11">
        <f t="shared" si="2"/>
        <v>0</v>
      </c>
      <c r="I11">
        <f t="shared" si="3"/>
        <v>-2400000</v>
      </c>
      <c r="O11">
        <v>11</v>
      </c>
      <c r="P11">
        <v>20</v>
      </c>
      <c r="Q11">
        <v>21</v>
      </c>
    </row>
    <row r="12" spans="1:17">
      <c r="A12" s="11" t="s">
        <v>83</v>
      </c>
      <c r="B12" s="1">
        <v>-200000</v>
      </c>
      <c r="C12" s="1">
        <v>0</v>
      </c>
      <c r="D12" s="15">
        <f t="shared" si="0"/>
        <v>-200000</v>
      </c>
      <c r="E12" s="12" t="s">
        <v>26</v>
      </c>
      <c r="F12">
        <v>10</v>
      </c>
      <c r="G12">
        <f t="shared" si="1"/>
        <v>-2000000</v>
      </c>
      <c r="H12">
        <f t="shared" si="2"/>
        <v>0</v>
      </c>
      <c r="I12">
        <f t="shared" si="3"/>
        <v>-2000000</v>
      </c>
      <c r="O12">
        <v>12</v>
      </c>
      <c r="P12">
        <v>19</v>
      </c>
      <c r="Q12">
        <v>20</v>
      </c>
    </row>
    <row r="13" spans="1:17">
      <c r="A13" s="11" t="s">
        <v>83</v>
      </c>
      <c r="B13" s="1">
        <v>-560000</v>
      </c>
      <c r="C13" s="1">
        <v>0</v>
      </c>
      <c r="D13" s="1">
        <f t="shared" si="0"/>
        <v>-560000</v>
      </c>
      <c r="E13" s="11" t="s">
        <v>84</v>
      </c>
      <c r="F13">
        <v>10</v>
      </c>
      <c r="G13">
        <f t="shared" si="1"/>
        <v>-5600000</v>
      </c>
      <c r="H13">
        <f t="shared" si="2"/>
        <v>0</v>
      </c>
      <c r="I13">
        <f t="shared" si="3"/>
        <v>-5600000</v>
      </c>
      <c r="O13">
        <v>13</v>
      </c>
      <c r="P13">
        <v>18</v>
      </c>
      <c r="Q13">
        <v>19</v>
      </c>
    </row>
    <row r="14" spans="1:17">
      <c r="A14" s="11" t="s">
        <v>87</v>
      </c>
      <c r="B14" s="1">
        <v>-705500</v>
      </c>
      <c r="C14" s="1">
        <v>0</v>
      </c>
      <c r="D14" s="15">
        <f t="shared" si="0"/>
        <v>-705500</v>
      </c>
      <c r="E14" s="16" t="s">
        <v>88</v>
      </c>
      <c r="F14">
        <v>6</v>
      </c>
      <c r="G14">
        <f t="shared" si="1"/>
        <v>-4233000</v>
      </c>
      <c r="H14">
        <f t="shared" si="2"/>
        <v>0</v>
      </c>
      <c r="I14">
        <f t="shared" si="3"/>
        <v>-4233000</v>
      </c>
      <c r="O14">
        <v>14</v>
      </c>
      <c r="P14">
        <v>17</v>
      </c>
      <c r="Q14">
        <v>18</v>
      </c>
    </row>
    <row r="15" spans="1:17">
      <c r="A15" s="11"/>
      <c r="B15" s="1"/>
      <c r="C15" s="1"/>
      <c r="D15" s="1">
        <f t="shared" si="0"/>
        <v>0</v>
      </c>
      <c r="E15" s="11"/>
      <c r="G15">
        <f t="shared" si="1"/>
        <v>0</v>
      </c>
      <c r="H15">
        <f t="shared" si="2"/>
        <v>0</v>
      </c>
      <c r="I15">
        <f t="shared" si="3"/>
        <v>0</v>
      </c>
      <c r="O15">
        <v>15</v>
      </c>
      <c r="P15">
        <v>16</v>
      </c>
      <c r="Q15">
        <v>17</v>
      </c>
    </row>
    <row r="16" spans="1:17">
      <c r="A16" s="11"/>
      <c r="B16" s="1"/>
      <c r="C16" s="1"/>
      <c r="D16" s="1">
        <f t="shared" si="0"/>
        <v>0</v>
      </c>
      <c r="E16" s="11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1">
        <f t="shared" si="0"/>
        <v>0</v>
      </c>
      <c r="E17" s="2"/>
      <c r="O17">
        <v>17</v>
      </c>
      <c r="P17">
        <v>14</v>
      </c>
      <c r="Q17">
        <v>15</v>
      </c>
    </row>
    <row r="18" spans="1:17">
      <c r="A18" s="2"/>
      <c r="B18" s="1"/>
      <c r="C18" s="1"/>
      <c r="D18" s="1">
        <f t="shared" si="0"/>
        <v>0</v>
      </c>
      <c r="E18" s="2"/>
      <c r="O18">
        <v>18</v>
      </c>
      <c r="P18">
        <v>13</v>
      </c>
      <c r="Q18">
        <v>14</v>
      </c>
    </row>
    <row r="19" spans="1:17">
      <c r="A19" s="2"/>
      <c r="B19" s="1"/>
      <c r="C19" s="1"/>
      <c r="D19" s="1">
        <f t="shared" si="0"/>
        <v>0</v>
      </c>
      <c r="E19" s="2"/>
      <c r="G19">
        <f>SUM(G2:G16)</f>
        <v>140112202</v>
      </c>
      <c r="H19">
        <f>SUM(H2:H15)</f>
        <v>22828015</v>
      </c>
      <c r="I19">
        <f>SUM(I2:I17)</f>
        <v>117284187</v>
      </c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G20" t="s">
        <v>62</v>
      </c>
      <c r="H20" t="s">
        <v>36</v>
      </c>
      <c r="I20" t="s">
        <v>37</v>
      </c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6702554</v>
      </c>
      <c r="C21" s="3">
        <f>SUM(C2:C18)</f>
        <v>2946065</v>
      </c>
      <c r="D21" s="3">
        <f>SUM(D2:D18)</f>
        <v>3756489</v>
      </c>
      <c r="E21" s="2"/>
      <c r="O21">
        <v>21</v>
      </c>
      <c r="P21">
        <v>10</v>
      </c>
      <c r="Q21">
        <v>11</v>
      </c>
    </row>
    <row r="22" spans="1:17">
      <c r="F22" t="s">
        <v>25</v>
      </c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G24" s="15">
        <v>41204</v>
      </c>
      <c r="H24" s="15">
        <f>G24*H19/G19</f>
        <v>6713.2306582406009</v>
      </c>
      <c r="I24" s="15">
        <f>G24*I19/G19</f>
        <v>34490.769341759398</v>
      </c>
      <c r="O24">
        <v>24</v>
      </c>
      <c r="P24">
        <v>7</v>
      </c>
      <c r="Q24">
        <v>8</v>
      </c>
    </row>
    <row r="25" spans="1:17">
      <c r="G25" s="9" t="s">
        <v>67</v>
      </c>
      <c r="H25" s="9" t="s">
        <v>38</v>
      </c>
      <c r="I25" s="9" t="s">
        <v>39</v>
      </c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D27" s="7">
        <v>26000000</v>
      </c>
      <c r="E27" t="s">
        <v>85</v>
      </c>
      <c r="O27">
        <v>27</v>
      </c>
      <c r="P27">
        <v>4</v>
      </c>
      <c r="Q27">
        <v>5</v>
      </c>
    </row>
    <row r="28" spans="1:17">
      <c r="D28" s="7">
        <v>500000</v>
      </c>
      <c r="E28" t="s">
        <v>89</v>
      </c>
      <c r="O28">
        <v>28</v>
      </c>
      <c r="P28">
        <v>3</v>
      </c>
      <c r="Q28">
        <v>4</v>
      </c>
    </row>
    <row r="29" spans="1:17">
      <c r="B29" s="7"/>
      <c r="D29" s="7">
        <f>SUM(D5,D8,D10,D11,D12,D14)*(-1)</f>
        <v>1299700</v>
      </c>
      <c r="G29">
        <f>(G19*0.11)/(31*12)</f>
        <v>41431.02747311828</v>
      </c>
      <c r="O29">
        <v>29</v>
      </c>
      <c r="P29">
        <v>2</v>
      </c>
      <c r="Q29">
        <v>3</v>
      </c>
    </row>
    <row r="30" spans="1:17">
      <c r="E30" t="s">
        <v>86</v>
      </c>
      <c r="O30">
        <v>30</v>
      </c>
      <c r="P30">
        <v>1</v>
      </c>
      <c r="Q30">
        <v>2</v>
      </c>
    </row>
    <row r="31" spans="1:17">
      <c r="D31">
        <v>-95000</v>
      </c>
      <c r="E31" t="s">
        <v>94</v>
      </c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  <row r="33" spans="4:5">
      <c r="D33" s="7">
        <f>SUM(D27:D31)</f>
        <v>27704700</v>
      </c>
      <c r="E33" t="s">
        <v>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4" sqref="G34"/>
    </sheetView>
  </sheetViews>
  <sheetFormatPr defaultRowHeight="15"/>
  <cols>
    <col min="1" max="1" width="9.7109375" bestFit="1" customWidth="1"/>
    <col min="2" max="2" width="16.85546875" bestFit="1" customWidth="1"/>
    <col min="3" max="4" width="16.140625" bestFit="1" customWidth="1"/>
    <col min="5" max="5" width="47.7109375" bestFit="1" customWidth="1"/>
    <col min="6" max="6" width="22.5703125" bestFit="1" customWidth="1"/>
    <col min="7" max="7" width="12" bestFit="1" customWidth="1"/>
    <col min="8" max="8" width="12.7109375" bestFit="1" customWidth="1"/>
    <col min="9" max="9" width="12" bestFit="1" customWidth="1"/>
    <col min="10" max="10" width="7.28515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90</v>
      </c>
      <c r="B2" s="3">
        <f>'مرداد 95'!B21</f>
        <v>6702554</v>
      </c>
      <c r="C2" s="1">
        <f>'مرداد 95'!C21</f>
        <v>2946065</v>
      </c>
      <c r="D2" s="3">
        <f>B2-C2</f>
        <v>3756489</v>
      </c>
      <c r="E2" s="2" t="s">
        <v>59</v>
      </c>
      <c r="F2">
        <v>31</v>
      </c>
      <c r="G2">
        <f>B2*F2</f>
        <v>207779174</v>
      </c>
      <c r="H2">
        <f>C2*F2</f>
        <v>91328015</v>
      </c>
      <c r="I2">
        <f>D2*F2</f>
        <v>116451159</v>
      </c>
      <c r="O2">
        <v>2</v>
      </c>
      <c r="P2">
        <v>29</v>
      </c>
      <c r="Q2">
        <v>30</v>
      </c>
    </row>
    <row r="3" spans="1:17">
      <c r="A3" s="4" t="s">
        <v>91</v>
      </c>
      <c r="B3" s="1">
        <v>41204</v>
      </c>
      <c r="C3" s="1">
        <v>6713</v>
      </c>
      <c r="D3" s="3">
        <f t="shared" ref="D3:D22" si="0">B3-C3</f>
        <v>34491</v>
      </c>
      <c r="E3" s="5" t="s">
        <v>92</v>
      </c>
      <c r="F3">
        <v>30</v>
      </c>
      <c r="G3">
        <f t="shared" ref="G3:G23" si="1">B3*F3</f>
        <v>1236120</v>
      </c>
      <c r="H3">
        <f t="shared" ref="H3:H23" si="2">C3*F3</f>
        <v>201390</v>
      </c>
      <c r="I3">
        <f t="shared" ref="I3:I23" si="3">D3*F3</f>
        <v>1034730</v>
      </c>
      <c r="O3">
        <v>3</v>
      </c>
      <c r="P3">
        <v>28</v>
      </c>
      <c r="Q3">
        <v>29</v>
      </c>
    </row>
    <row r="4" spans="1:17">
      <c r="A4" s="17" t="s">
        <v>91</v>
      </c>
      <c r="B4" s="18">
        <v>1704700</v>
      </c>
      <c r="C4" s="18">
        <v>0</v>
      </c>
      <c r="D4" s="3">
        <f t="shared" si="0"/>
        <v>1704700</v>
      </c>
      <c r="E4" s="19" t="s">
        <v>93</v>
      </c>
      <c r="F4">
        <v>30</v>
      </c>
      <c r="G4">
        <f t="shared" si="1"/>
        <v>51141000</v>
      </c>
      <c r="H4">
        <f t="shared" si="2"/>
        <v>0</v>
      </c>
      <c r="I4">
        <f t="shared" si="3"/>
        <v>51141000</v>
      </c>
      <c r="O4">
        <v>4</v>
      </c>
      <c r="P4">
        <v>27</v>
      </c>
      <c r="Q4">
        <v>28</v>
      </c>
    </row>
    <row r="5" spans="1:17">
      <c r="A5" s="20" t="s">
        <v>96</v>
      </c>
      <c r="B5" s="18">
        <v>-155000</v>
      </c>
      <c r="C5" s="18">
        <v>0</v>
      </c>
      <c r="D5" s="3">
        <f t="shared" si="0"/>
        <v>-155000</v>
      </c>
      <c r="E5" s="20" t="s">
        <v>97</v>
      </c>
      <c r="F5">
        <v>22</v>
      </c>
      <c r="G5">
        <f t="shared" si="1"/>
        <v>-3410000</v>
      </c>
      <c r="H5">
        <f t="shared" si="2"/>
        <v>0</v>
      </c>
      <c r="I5">
        <f t="shared" si="3"/>
        <v>-3410000</v>
      </c>
      <c r="O5">
        <v>5</v>
      </c>
      <c r="P5">
        <v>26</v>
      </c>
      <c r="Q5">
        <v>27</v>
      </c>
    </row>
    <row r="6" spans="1:17">
      <c r="A6" s="17" t="s">
        <v>96</v>
      </c>
      <c r="B6" s="18">
        <v>-138000</v>
      </c>
      <c r="C6" s="18">
        <v>0</v>
      </c>
      <c r="D6" s="3">
        <f t="shared" si="0"/>
        <v>-138000</v>
      </c>
      <c r="E6" s="19" t="s">
        <v>98</v>
      </c>
      <c r="F6">
        <v>22</v>
      </c>
      <c r="G6">
        <f t="shared" si="1"/>
        <v>-3036000</v>
      </c>
      <c r="H6">
        <f t="shared" si="2"/>
        <v>0</v>
      </c>
      <c r="I6">
        <f t="shared" si="3"/>
        <v>-3036000</v>
      </c>
      <c r="O6">
        <v>6</v>
      </c>
      <c r="P6">
        <v>25</v>
      </c>
      <c r="Q6">
        <v>26</v>
      </c>
    </row>
    <row r="7" spans="1:17">
      <c r="A7" s="17" t="s">
        <v>96</v>
      </c>
      <c r="B7" s="18">
        <v>-740000</v>
      </c>
      <c r="C7" s="18">
        <v>0</v>
      </c>
      <c r="D7" s="3">
        <f t="shared" si="0"/>
        <v>-740000</v>
      </c>
      <c r="E7" s="19" t="s">
        <v>99</v>
      </c>
      <c r="F7">
        <v>22</v>
      </c>
      <c r="G7">
        <f t="shared" si="1"/>
        <v>-16280000</v>
      </c>
      <c r="H7">
        <f t="shared" si="2"/>
        <v>0</v>
      </c>
      <c r="I7">
        <f t="shared" si="3"/>
        <v>-16280000</v>
      </c>
      <c r="O7">
        <v>7</v>
      </c>
      <c r="P7">
        <v>24</v>
      </c>
      <c r="Q7">
        <v>25</v>
      </c>
    </row>
    <row r="8" spans="1:17">
      <c r="A8" s="17" t="s">
        <v>96</v>
      </c>
      <c r="B8" s="18">
        <v>-200000</v>
      </c>
      <c r="C8" s="18">
        <v>0</v>
      </c>
      <c r="D8" s="3">
        <f t="shared" si="0"/>
        <v>-200000</v>
      </c>
      <c r="E8" s="19" t="s">
        <v>100</v>
      </c>
      <c r="F8">
        <v>22</v>
      </c>
      <c r="G8">
        <f t="shared" si="1"/>
        <v>-4400000</v>
      </c>
      <c r="H8">
        <f t="shared" si="2"/>
        <v>0</v>
      </c>
      <c r="I8">
        <f t="shared" si="3"/>
        <v>-4400000</v>
      </c>
      <c r="O8">
        <v>8</v>
      </c>
      <c r="P8">
        <v>23</v>
      </c>
      <c r="Q8">
        <v>24</v>
      </c>
    </row>
    <row r="9" spans="1:17" ht="30">
      <c r="A9" s="17" t="s">
        <v>101</v>
      </c>
      <c r="B9" s="18">
        <v>-1055000</v>
      </c>
      <c r="C9" s="18">
        <v>0</v>
      </c>
      <c r="D9" s="3">
        <f t="shared" si="0"/>
        <v>-1055000</v>
      </c>
      <c r="E9" s="21" t="s">
        <v>102</v>
      </c>
      <c r="F9">
        <v>21</v>
      </c>
      <c r="G9">
        <f t="shared" si="1"/>
        <v>-22155000</v>
      </c>
      <c r="H9">
        <f t="shared" si="2"/>
        <v>0</v>
      </c>
      <c r="I9">
        <f t="shared" si="3"/>
        <v>-22155000</v>
      </c>
      <c r="O9">
        <v>9</v>
      </c>
      <c r="P9">
        <v>22</v>
      </c>
      <c r="Q9">
        <v>23</v>
      </c>
    </row>
    <row r="10" spans="1:17">
      <c r="A10" s="17" t="s">
        <v>101</v>
      </c>
      <c r="B10" s="18">
        <v>-200000</v>
      </c>
      <c r="C10" s="18">
        <v>0</v>
      </c>
      <c r="D10" s="3">
        <f t="shared" si="0"/>
        <v>-200000</v>
      </c>
      <c r="E10" s="19" t="s">
        <v>100</v>
      </c>
      <c r="F10">
        <v>21</v>
      </c>
      <c r="G10">
        <f t="shared" si="1"/>
        <v>-4200000</v>
      </c>
      <c r="H10">
        <f t="shared" si="2"/>
        <v>0</v>
      </c>
      <c r="I10">
        <f t="shared" si="3"/>
        <v>-4200000</v>
      </c>
      <c r="O10">
        <v>10</v>
      </c>
      <c r="P10">
        <v>21</v>
      </c>
      <c r="Q10">
        <v>22</v>
      </c>
    </row>
    <row r="11" spans="1:17">
      <c r="A11" s="17" t="s">
        <v>101</v>
      </c>
      <c r="B11" s="18">
        <v>-1000500</v>
      </c>
      <c r="C11" s="18">
        <v>0</v>
      </c>
      <c r="D11" s="3">
        <f t="shared" si="0"/>
        <v>-1000500</v>
      </c>
      <c r="E11" s="19" t="s">
        <v>103</v>
      </c>
      <c r="F11">
        <v>21</v>
      </c>
      <c r="G11">
        <f t="shared" si="1"/>
        <v>-21010500</v>
      </c>
      <c r="H11">
        <f t="shared" si="2"/>
        <v>0</v>
      </c>
      <c r="I11">
        <f t="shared" si="3"/>
        <v>-21010500</v>
      </c>
      <c r="O11">
        <v>11</v>
      </c>
      <c r="P11">
        <v>20</v>
      </c>
      <c r="Q11">
        <v>21</v>
      </c>
    </row>
    <row r="12" spans="1:17">
      <c r="A12" s="20" t="s">
        <v>101</v>
      </c>
      <c r="B12" s="18">
        <v>-38000</v>
      </c>
      <c r="C12" s="18">
        <v>0</v>
      </c>
      <c r="D12" s="3">
        <f t="shared" si="0"/>
        <v>-38000</v>
      </c>
      <c r="E12" s="20" t="s">
        <v>104</v>
      </c>
      <c r="F12">
        <v>21</v>
      </c>
      <c r="G12">
        <f t="shared" si="1"/>
        <v>-798000</v>
      </c>
      <c r="H12">
        <f t="shared" si="2"/>
        <v>0</v>
      </c>
      <c r="I12">
        <f t="shared" si="3"/>
        <v>-798000</v>
      </c>
      <c r="O12">
        <v>12</v>
      </c>
      <c r="P12">
        <v>19</v>
      </c>
      <c r="Q12">
        <v>20</v>
      </c>
    </row>
    <row r="13" spans="1:17">
      <c r="A13" s="20" t="s">
        <v>101</v>
      </c>
      <c r="B13" s="18">
        <v>-105000</v>
      </c>
      <c r="C13" s="18">
        <v>0</v>
      </c>
      <c r="D13" s="3">
        <f t="shared" si="0"/>
        <v>-105000</v>
      </c>
      <c r="E13" s="20" t="s">
        <v>104</v>
      </c>
      <c r="F13">
        <v>21</v>
      </c>
      <c r="G13">
        <f>B13*F13</f>
        <v>-2205000</v>
      </c>
      <c r="H13">
        <f t="shared" si="2"/>
        <v>0</v>
      </c>
      <c r="I13">
        <f t="shared" si="3"/>
        <v>-2205000</v>
      </c>
      <c r="O13">
        <v>13</v>
      </c>
      <c r="P13">
        <v>18</v>
      </c>
      <c r="Q13">
        <v>19</v>
      </c>
    </row>
    <row r="14" spans="1:17">
      <c r="A14" s="20" t="s">
        <v>101</v>
      </c>
      <c r="B14" s="18">
        <v>-60000</v>
      </c>
      <c r="C14" s="18">
        <v>0</v>
      </c>
      <c r="D14" s="3">
        <f t="shared" si="0"/>
        <v>-60000</v>
      </c>
      <c r="E14" s="20" t="s">
        <v>104</v>
      </c>
      <c r="F14">
        <v>21</v>
      </c>
      <c r="G14">
        <f t="shared" si="1"/>
        <v>-1260000</v>
      </c>
      <c r="H14">
        <f t="shared" si="2"/>
        <v>0</v>
      </c>
      <c r="I14">
        <f t="shared" si="3"/>
        <v>-1260000</v>
      </c>
      <c r="O14">
        <v>14</v>
      </c>
      <c r="P14">
        <v>17</v>
      </c>
      <c r="Q14">
        <v>18</v>
      </c>
    </row>
    <row r="15" spans="1:17">
      <c r="A15" s="20" t="s">
        <v>105</v>
      </c>
      <c r="B15" s="18">
        <v>1000000</v>
      </c>
      <c r="C15" s="18">
        <v>1000000</v>
      </c>
      <c r="D15" s="3">
        <f t="shared" si="0"/>
        <v>0</v>
      </c>
      <c r="E15" s="20" t="s">
        <v>106</v>
      </c>
      <c r="F15">
        <v>17</v>
      </c>
      <c r="G15">
        <f t="shared" si="1"/>
        <v>17000000</v>
      </c>
      <c r="H15">
        <f t="shared" si="2"/>
        <v>17000000</v>
      </c>
      <c r="I15">
        <f t="shared" si="3"/>
        <v>0</v>
      </c>
      <c r="O15">
        <v>15</v>
      </c>
      <c r="P15">
        <v>16</v>
      </c>
      <c r="Q15">
        <v>17</v>
      </c>
    </row>
    <row r="16" spans="1:17">
      <c r="A16" s="20" t="s">
        <v>107</v>
      </c>
      <c r="B16" s="18">
        <v>3500000</v>
      </c>
      <c r="C16" s="18">
        <v>3500000</v>
      </c>
      <c r="D16" s="3">
        <f t="shared" si="0"/>
        <v>0</v>
      </c>
      <c r="E16" s="20" t="s">
        <v>106</v>
      </c>
      <c r="F16">
        <v>16</v>
      </c>
      <c r="G16">
        <f t="shared" si="1"/>
        <v>56000000</v>
      </c>
      <c r="H16">
        <f t="shared" si="2"/>
        <v>56000000</v>
      </c>
      <c r="I16">
        <f t="shared" si="3"/>
        <v>0</v>
      </c>
      <c r="O16">
        <v>16</v>
      </c>
      <c r="P16">
        <v>15</v>
      </c>
      <c r="Q16">
        <v>16</v>
      </c>
    </row>
    <row r="17" spans="1:17">
      <c r="A17" s="20" t="s">
        <v>111</v>
      </c>
      <c r="B17" s="18">
        <v>1000000</v>
      </c>
      <c r="C17" s="18">
        <v>1000000</v>
      </c>
      <c r="D17" s="3">
        <f t="shared" si="0"/>
        <v>0</v>
      </c>
      <c r="E17" s="20" t="s">
        <v>112</v>
      </c>
      <c r="F17">
        <v>14</v>
      </c>
      <c r="G17">
        <f t="shared" si="1"/>
        <v>14000000</v>
      </c>
      <c r="H17">
        <f t="shared" si="2"/>
        <v>14000000</v>
      </c>
      <c r="I17">
        <f t="shared" si="3"/>
        <v>0</v>
      </c>
      <c r="O17">
        <v>17</v>
      </c>
      <c r="P17">
        <v>14</v>
      </c>
      <c r="Q17">
        <v>15</v>
      </c>
    </row>
    <row r="18" spans="1:17">
      <c r="A18" s="20" t="s">
        <v>111</v>
      </c>
      <c r="B18" s="18">
        <v>3000000</v>
      </c>
      <c r="C18" s="18">
        <v>3000000</v>
      </c>
      <c r="D18" s="3">
        <f t="shared" si="0"/>
        <v>0</v>
      </c>
      <c r="E18" s="20" t="s">
        <v>112</v>
      </c>
      <c r="F18">
        <v>14</v>
      </c>
      <c r="G18">
        <f t="shared" si="1"/>
        <v>42000000</v>
      </c>
      <c r="H18">
        <f t="shared" si="2"/>
        <v>42000000</v>
      </c>
      <c r="I18">
        <f t="shared" si="3"/>
        <v>0</v>
      </c>
      <c r="O18">
        <v>18</v>
      </c>
      <c r="P18">
        <v>13</v>
      </c>
      <c r="Q18">
        <v>14</v>
      </c>
    </row>
    <row r="19" spans="1:17">
      <c r="A19" s="20" t="s">
        <v>108</v>
      </c>
      <c r="B19" s="18">
        <v>-200000</v>
      </c>
      <c r="C19" s="18">
        <v>0</v>
      </c>
      <c r="D19" s="3">
        <f t="shared" si="0"/>
        <v>-200000</v>
      </c>
      <c r="E19" s="20" t="s">
        <v>26</v>
      </c>
      <c r="F19">
        <v>13</v>
      </c>
      <c r="G19">
        <f t="shared" si="1"/>
        <v>-2600000</v>
      </c>
      <c r="H19">
        <f t="shared" si="2"/>
        <v>0</v>
      </c>
      <c r="I19">
        <f t="shared" si="3"/>
        <v>-2600000</v>
      </c>
      <c r="O19">
        <v>19</v>
      </c>
      <c r="P19">
        <v>12</v>
      </c>
      <c r="Q19">
        <v>13</v>
      </c>
    </row>
    <row r="20" spans="1:17">
      <c r="A20" s="19" t="s">
        <v>114</v>
      </c>
      <c r="B20" s="18">
        <v>-50000</v>
      </c>
      <c r="C20" s="18">
        <v>0</v>
      </c>
      <c r="D20" s="3">
        <f t="shared" si="0"/>
        <v>-50000</v>
      </c>
      <c r="E20" s="19" t="s">
        <v>115</v>
      </c>
      <c r="F20">
        <v>8</v>
      </c>
      <c r="G20">
        <f t="shared" si="1"/>
        <v>-400000</v>
      </c>
      <c r="H20">
        <f t="shared" si="2"/>
        <v>0</v>
      </c>
      <c r="I20">
        <f t="shared" si="3"/>
        <v>-400000</v>
      </c>
      <c r="O20">
        <v>20</v>
      </c>
      <c r="P20">
        <v>11</v>
      </c>
      <c r="Q20">
        <v>12</v>
      </c>
    </row>
    <row r="21" spans="1:17">
      <c r="A21" s="19" t="s">
        <v>117</v>
      </c>
      <c r="B21" s="18">
        <v>-200000</v>
      </c>
      <c r="C21" s="18">
        <v>0</v>
      </c>
      <c r="D21" s="3">
        <f t="shared" si="0"/>
        <v>-200000</v>
      </c>
      <c r="E21" s="19" t="s">
        <v>26</v>
      </c>
      <c r="F21">
        <v>4</v>
      </c>
      <c r="G21">
        <f t="shared" si="1"/>
        <v>-800000</v>
      </c>
      <c r="H21">
        <f t="shared" si="2"/>
        <v>0</v>
      </c>
      <c r="I21">
        <f t="shared" si="3"/>
        <v>-800000</v>
      </c>
      <c r="O21">
        <v>21</v>
      </c>
      <c r="P21">
        <v>10</v>
      </c>
      <c r="Q21">
        <v>11</v>
      </c>
    </row>
    <row r="22" spans="1:17">
      <c r="A22" s="19" t="s">
        <v>120</v>
      </c>
      <c r="B22" s="18">
        <v>-170000</v>
      </c>
      <c r="C22" s="18">
        <v>0</v>
      </c>
      <c r="D22" s="3">
        <f t="shared" si="0"/>
        <v>-170000</v>
      </c>
      <c r="E22" s="19" t="s">
        <v>121</v>
      </c>
      <c r="F22">
        <v>1</v>
      </c>
      <c r="G22">
        <f t="shared" si="1"/>
        <v>-170000</v>
      </c>
      <c r="H22">
        <f t="shared" si="2"/>
        <v>0</v>
      </c>
      <c r="I22">
        <f t="shared" si="3"/>
        <v>-170000</v>
      </c>
      <c r="O22">
        <v>22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23</v>
      </c>
      <c r="P23">
        <v>8</v>
      </c>
      <c r="Q23">
        <v>9</v>
      </c>
    </row>
    <row r="24" spans="1:17">
      <c r="A24" s="2" t="s">
        <v>6</v>
      </c>
      <c r="B24" s="3">
        <f>SUM(B2:B22)</f>
        <v>12636958</v>
      </c>
      <c r="C24" s="3">
        <f>SUM(C2:C22)</f>
        <v>11452778</v>
      </c>
      <c r="D24" s="3">
        <f>SUM(D2:D22)</f>
        <v>1184180</v>
      </c>
      <c r="E24" s="2"/>
      <c r="O24">
        <v>24</v>
      </c>
      <c r="P24">
        <v>7</v>
      </c>
      <c r="Q24">
        <v>8</v>
      </c>
    </row>
    <row r="25" spans="1:17">
      <c r="G25">
        <f>SUM(G2:G23)</f>
        <v>306431794</v>
      </c>
      <c r="H25">
        <f>SUM(H2:H23)</f>
        <v>220529405</v>
      </c>
      <c r="I25">
        <f>SUM(I2:I23)</f>
        <v>85902389</v>
      </c>
      <c r="O25">
        <v>25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F28" t="s">
        <v>25</v>
      </c>
      <c r="O28">
        <v>28</v>
      </c>
      <c r="P28">
        <v>3</v>
      </c>
      <c r="Q28">
        <v>4</v>
      </c>
    </row>
    <row r="29" spans="1:17">
      <c r="E29" t="s">
        <v>85</v>
      </c>
      <c r="O29">
        <v>29</v>
      </c>
      <c r="P29">
        <v>2</v>
      </c>
      <c r="Q29">
        <v>3</v>
      </c>
    </row>
    <row r="30" spans="1:17">
      <c r="D30" s="7">
        <v>26000000</v>
      </c>
      <c r="E30" t="s">
        <v>95</v>
      </c>
      <c r="G30" s="1">
        <v>91325</v>
      </c>
      <c r="H30" s="1">
        <f>G30*H25/G25</f>
        <v>65723.754212087399</v>
      </c>
      <c r="I30" s="1">
        <f>G30*I25/G25</f>
        <v>25601.245787912594</v>
      </c>
      <c r="O30">
        <v>30</v>
      </c>
      <c r="P30">
        <v>1</v>
      </c>
      <c r="Q30">
        <v>2</v>
      </c>
    </row>
    <row r="31" spans="1:17">
      <c r="D31" s="7">
        <v>600000</v>
      </c>
      <c r="E31" t="s">
        <v>109</v>
      </c>
      <c r="G31" s="9" t="s">
        <v>67</v>
      </c>
      <c r="H31" s="9" t="s">
        <v>38</v>
      </c>
      <c r="I31" s="9" t="s">
        <v>39</v>
      </c>
      <c r="O31">
        <v>31</v>
      </c>
      <c r="P31">
        <v>0</v>
      </c>
      <c r="Q31">
        <v>1</v>
      </c>
    </row>
    <row r="32" spans="1:17">
      <c r="B32" s="7"/>
      <c r="D32" s="7">
        <v>200000</v>
      </c>
      <c r="E32" t="s">
        <v>116</v>
      </c>
      <c r="P32" t="s">
        <v>60</v>
      </c>
      <c r="Q32" t="s">
        <v>61</v>
      </c>
    </row>
    <row r="33" spans="4:7">
      <c r="D33" s="7">
        <v>-50000</v>
      </c>
      <c r="E33" t="s">
        <v>110</v>
      </c>
    </row>
    <row r="34" spans="4:7">
      <c r="D34" s="7">
        <v>-50000</v>
      </c>
      <c r="E34" t="s">
        <v>113</v>
      </c>
    </row>
    <row r="35" spans="4:7">
      <c r="D35" s="7">
        <v>200000</v>
      </c>
      <c r="E35" t="s">
        <v>118</v>
      </c>
    </row>
    <row r="36" spans="4:7">
      <c r="D36" s="7">
        <v>-110000</v>
      </c>
      <c r="E36" t="s">
        <v>119</v>
      </c>
      <c r="G36">
        <f>(G25*0.11)/365</f>
        <v>92349.307780821924</v>
      </c>
    </row>
    <row r="37" spans="4:7">
      <c r="D37" s="7"/>
    </row>
    <row r="39" spans="4:7">
      <c r="D39" s="7">
        <f>SUM(D30:D38)</f>
        <v>26790000</v>
      </c>
      <c r="E39" t="s">
        <v>6</v>
      </c>
    </row>
    <row r="41" spans="4:7">
      <c r="E41" t="s">
        <v>25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0" sqref="G30:I30"/>
    </sheetView>
  </sheetViews>
  <sheetFormatPr defaultRowHeight="15"/>
  <cols>
    <col min="1" max="1" width="10.7109375" bestFit="1" customWidth="1"/>
    <col min="2" max="4" width="16.140625" bestFit="1" customWidth="1"/>
    <col min="5" max="5" width="51.7109375" bestFit="1" customWidth="1"/>
    <col min="6" max="6" width="22.5703125" bestFit="1" customWidth="1"/>
    <col min="7" max="7" width="13.8554687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122</v>
      </c>
      <c r="B2" s="3">
        <f>'شهریور 95'!B24</f>
        <v>12636958</v>
      </c>
      <c r="C2" s="1">
        <f>'شهریور 95'!C24</f>
        <v>11452778</v>
      </c>
      <c r="D2" s="3">
        <f>B2-C2</f>
        <v>1184180</v>
      </c>
      <c r="E2" s="2" t="s">
        <v>59</v>
      </c>
      <c r="F2">
        <v>30</v>
      </c>
      <c r="G2">
        <f>B2*F2</f>
        <v>379108740</v>
      </c>
      <c r="H2">
        <f>C2*F2</f>
        <v>343583340</v>
      </c>
      <c r="I2">
        <f>D2*F2</f>
        <v>35525400</v>
      </c>
      <c r="O2">
        <v>1</v>
      </c>
      <c r="P2">
        <v>29</v>
      </c>
      <c r="Q2">
        <v>30</v>
      </c>
    </row>
    <row r="3" spans="1:17">
      <c r="A3" s="4" t="s">
        <v>123</v>
      </c>
      <c r="B3" s="1">
        <v>91325</v>
      </c>
      <c r="C3" s="1">
        <v>65723</v>
      </c>
      <c r="D3" s="3">
        <f t="shared" ref="D3:D22" si="0">B3-C3</f>
        <v>25602</v>
      </c>
      <c r="E3" s="5" t="s">
        <v>124</v>
      </c>
      <c r="F3">
        <v>29</v>
      </c>
      <c r="G3">
        <f t="shared" ref="G3:G23" si="1">B3*F3</f>
        <v>2648425</v>
      </c>
      <c r="H3">
        <f t="shared" ref="H3:H23" si="2">C3*F3</f>
        <v>1905967</v>
      </c>
      <c r="I3">
        <f t="shared" ref="I3:I23" si="3">D3*F3</f>
        <v>742458</v>
      </c>
      <c r="O3">
        <v>2</v>
      </c>
      <c r="P3">
        <v>28</v>
      </c>
      <c r="Q3">
        <v>29</v>
      </c>
    </row>
    <row r="4" spans="1:17">
      <c r="A4" s="17" t="s">
        <v>126</v>
      </c>
      <c r="B4" s="18">
        <v>-145000</v>
      </c>
      <c r="C4" s="18">
        <v>0</v>
      </c>
      <c r="D4" s="3">
        <f t="shared" si="0"/>
        <v>-145000</v>
      </c>
      <c r="E4" s="19" t="s">
        <v>127</v>
      </c>
      <c r="F4">
        <v>12</v>
      </c>
      <c r="G4">
        <f t="shared" si="1"/>
        <v>-1740000</v>
      </c>
      <c r="H4">
        <f t="shared" si="2"/>
        <v>0</v>
      </c>
      <c r="I4">
        <f t="shared" si="3"/>
        <v>-1740000</v>
      </c>
      <c r="O4">
        <v>3</v>
      </c>
      <c r="P4">
        <v>27</v>
      </c>
      <c r="Q4">
        <v>28</v>
      </c>
    </row>
    <row r="5" spans="1:17">
      <c r="A5" s="20" t="s">
        <v>131</v>
      </c>
      <c r="B5" s="18">
        <v>980000</v>
      </c>
      <c r="C5" s="18">
        <v>0</v>
      </c>
      <c r="D5" s="3">
        <f t="shared" si="0"/>
        <v>980000</v>
      </c>
      <c r="E5" s="20" t="s">
        <v>132</v>
      </c>
      <c r="F5">
        <v>4</v>
      </c>
      <c r="G5">
        <f t="shared" si="1"/>
        <v>3920000</v>
      </c>
      <c r="H5">
        <f t="shared" si="2"/>
        <v>0</v>
      </c>
      <c r="I5">
        <f t="shared" si="3"/>
        <v>3920000</v>
      </c>
      <c r="O5">
        <v>4</v>
      </c>
      <c r="P5">
        <v>26</v>
      </c>
      <c r="Q5">
        <v>27</v>
      </c>
    </row>
    <row r="6" spans="1:17">
      <c r="A6" s="17" t="s">
        <v>133</v>
      </c>
      <c r="B6" s="18">
        <v>-46000</v>
      </c>
      <c r="C6" s="18">
        <v>0</v>
      </c>
      <c r="D6" s="3">
        <f t="shared" si="0"/>
        <v>-46000</v>
      </c>
      <c r="E6" s="19" t="s">
        <v>134</v>
      </c>
      <c r="F6">
        <v>2</v>
      </c>
      <c r="G6">
        <f t="shared" si="1"/>
        <v>-92000</v>
      </c>
      <c r="H6">
        <f t="shared" si="2"/>
        <v>0</v>
      </c>
      <c r="I6">
        <f t="shared" si="3"/>
        <v>-92000</v>
      </c>
      <c r="O6">
        <v>5</v>
      </c>
      <c r="P6">
        <v>25</v>
      </c>
      <c r="Q6">
        <v>26</v>
      </c>
    </row>
    <row r="7" spans="1:17">
      <c r="A7" s="17"/>
      <c r="B7" s="18"/>
      <c r="C7" s="18"/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/>
      <c r="B8" s="18"/>
      <c r="C8" s="18"/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>
      <c r="A9" s="17"/>
      <c r="B9" s="18"/>
      <c r="C9" s="18"/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/>
      <c r="B10" s="18"/>
      <c r="C10" s="18"/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/>
      <c r="B11" s="18"/>
      <c r="C11" s="18"/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/>
      <c r="B12" s="18"/>
      <c r="C12" s="18"/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/>
      <c r="B13" s="18"/>
      <c r="C13" s="18"/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/>
      <c r="B14" s="18"/>
      <c r="C14" s="18"/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/>
      <c r="B15" s="18"/>
      <c r="C15" s="18"/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/>
      <c r="B16" s="18"/>
      <c r="C16" s="18"/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/>
      <c r="B17" s="18"/>
      <c r="C17" s="18"/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13517283</v>
      </c>
      <c r="C24" s="3">
        <f>SUM(C2:C22)</f>
        <v>11518501</v>
      </c>
      <c r="D24" s="3">
        <f>SUM(D2:D22)</f>
        <v>1998782</v>
      </c>
      <c r="E24" s="2"/>
      <c r="O24">
        <v>23</v>
      </c>
      <c r="P24">
        <v>7</v>
      </c>
      <c r="Q24">
        <v>8</v>
      </c>
    </row>
    <row r="25" spans="1:17">
      <c r="G25">
        <f>SUM(G2:G23)</f>
        <v>383845165</v>
      </c>
      <c r="H25">
        <f>SUM(H2:H23)</f>
        <v>345489307</v>
      </c>
      <c r="I25">
        <f>SUM(I2:I23)</f>
        <v>38355858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26790000</v>
      </c>
      <c r="E30" t="s">
        <v>95</v>
      </c>
      <c r="G30" s="1">
        <v>115338</v>
      </c>
      <c r="H30" s="1">
        <f>G30*H25/G25</f>
        <v>103812.81132137225</v>
      </c>
      <c r="I30" s="1">
        <f>G30*I25/G25</f>
        <v>11525.188678627748</v>
      </c>
      <c r="O30">
        <v>29</v>
      </c>
      <c r="P30">
        <v>1</v>
      </c>
      <c r="Q30">
        <v>2</v>
      </c>
    </row>
    <row r="31" spans="1:17">
      <c r="D31" s="7">
        <v>-500000</v>
      </c>
      <c r="E31" t="s">
        <v>125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/>
      <c r="P32" t="s">
        <v>60</v>
      </c>
      <c r="Q32" t="s">
        <v>61</v>
      </c>
    </row>
    <row r="33" spans="4:5">
      <c r="D33" s="7"/>
    </row>
    <row r="34" spans="4:5">
      <c r="D34" s="7"/>
    </row>
    <row r="35" spans="4:5">
      <c r="D35" s="7"/>
    </row>
    <row r="36" spans="4:5">
      <c r="D36" s="7"/>
    </row>
    <row r="37" spans="4:5">
      <c r="D37" s="7"/>
    </row>
    <row r="39" spans="4:5">
      <c r="D39" s="7">
        <f>SUM(D30:D38)</f>
        <v>26290000</v>
      </c>
      <c r="E39" t="s">
        <v>6</v>
      </c>
    </row>
    <row r="41" spans="4:5">
      <c r="E41" t="s">
        <v>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3" workbookViewId="0">
      <selection activeCell="G30" sqref="G30:I30"/>
    </sheetView>
  </sheetViews>
  <sheetFormatPr defaultRowHeight="15"/>
  <cols>
    <col min="1" max="1" width="9.7109375" bestFit="1" customWidth="1"/>
    <col min="2" max="4" width="16.140625" bestFit="1" customWidth="1"/>
    <col min="5" max="5" width="60.28515625" bestFit="1" customWidth="1"/>
    <col min="6" max="6" width="22.5703125" bestFit="1" customWidth="1"/>
    <col min="7" max="7" width="13.85546875" bestFit="1" customWidth="1"/>
    <col min="8" max="8" width="12" bestFit="1" customWidth="1"/>
    <col min="9" max="9" width="12.42578125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137</v>
      </c>
      <c r="B2" s="3">
        <f>'مهر 95'!B24</f>
        <v>13517283</v>
      </c>
      <c r="C2" s="1">
        <f>'مهر 95'!C24</f>
        <v>11518501</v>
      </c>
      <c r="D2" s="3">
        <f>B2-C2</f>
        <v>1998782</v>
      </c>
      <c r="E2" s="2" t="s">
        <v>59</v>
      </c>
      <c r="F2">
        <v>30</v>
      </c>
      <c r="G2">
        <f>B2*F2</f>
        <v>405518490</v>
      </c>
      <c r="H2">
        <f>C2*F2</f>
        <v>345555030</v>
      </c>
      <c r="I2">
        <f>D2*F2</f>
        <v>59963460</v>
      </c>
      <c r="O2">
        <v>1</v>
      </c>
      <c r="P2">
        <v>29</v>
      </c>
      <c r="Q2">
        <v>30</v>
      </c>
    </row>
    <row r="3" spans="1:17">
      <c r="A3" s="4" t="s">
        <v>138</v>
      </c>
      <c r="B3" s="1">
        <v>115338</v>
      </c>
      <c r="C3" s="1">
        <v>103812</v>
      </c>
      <c r="D3" s="3">
        <f t="shared" ref="D3:D22" si="0">B3-C3</f>
        <v>11526</v>
      </c>
      <c r="E3" s="5" t="s">
        <v>135</v>
      </c>
      <c r="F3">
        <v>29</v>
      </c>
      <c r="G3">
        <f t="shared" ref="G3:G23" si="1">B3*F3</f>
        <v>3344802</v>
      </c>
      <c r="H3">
        <f t="shared" ref="H3:H23" si="2">C3*F3</f>
        <v>3010548</v>
      </c>
      <c r="I3">
        <f t="shared" ref="I3:I23" si="3">D3*F3</f>
        <v>334254</v>
      </c>
      <c r="O3">
        <v>2</v>
      </c>
      <c r="P3">
        <v>28</v>
      </c>
      <c r="Q3">
        <v>29</v>
      </c>
    </row>
    <row r="4" spans="1:17">
      <c r="A4" s="17" t="s">
        <v>141</v>
      </c>
      <c r="B4" s="18">
        <v>-151969</v>
      </c>
      <c r="C4" s="18">
        <v>0</v>
      </c>
      <c r="D4" s="3">
        <f t="shared" si="0"/>
        <v>-151969</v>
      </c>
      <c r="E4" s="19" t="s">
        <v>140</v>
      </c>
      <c r="F4">
        <v>29</v>
      </c>
      <c r="G4">
        <f t="shared" si="1"/>
        <v>-4407101</v>
      </c>
      <c r="H4">
        <f t="shared" si="2"/>
        <v>0</v>
      </c>
      <c r="I4">
        <f t="shared" si="3"/>
        <v>-4407101</v>
      </c>
      <c r="O4">
        <v>3</v>
      </c>
      <c r="P4">
        <v>27</v>
      </c>
      <c r="Q4">
        <v>28</v>
      </c>
    </row>
    <row r="5" spans="1:17">
      <c r="A5" s="20" t="s">
        <v>139</v>
      </c>
      <c r="B5" s="18">
        <v>-805500</v>
      </c>
      <c r="C5" s="18">
        <v>0</v>
      </c>
      <c r="D5" s="3">
        <f t="shared" si="0"/>
        <v>-805500</v>
      </c>
      <c r="E5" s="20" t="s">
        <v>136</v>
      </c>
      <c r="F5">
        <v>28</v>
      </c>
      <c r="G5">
        <f t="shared" si="1"/>
        <v>-22554000</v>
      </c>
      <c r="H5">
        <f t="shared" si="2"/>
        <v>0</v>
      </c>
      <c r="I5">
        <f t="shared" si="3"/>
        <v>-22554000</v>
      </c>
      <c r="O5">
        <v>4</v>
      </c>
      <c r="P5">
        <v>26</v>
      </c>
      <c r="Q5">
        <v>27</v>
      </c>
    </row>
    <row r="6" spans="1:17">
      <c r="A6" s="17" t="s">
        <v>143</v>
      </c>
      <c r="B6" s="18">
        <v>6995000</v>
      </c>
      <c r="C6" s="18">
        <v>0</v>
      </c>
      <c r="D6" s="3">
        <f t="shared" si="0"/>
        <v>6995000</v>
      </c>
      <c r="E6" s="19" t="s">
        <v>144</v>
      </c>
      <c r="F6">
        <v>20</v>
      </c>
      <c r="G6">
        <f t="shared" si="1"/>
        <v>139900000</v>
      </c>
      <c r="H6">
        <f t="shared" si="2"/>
        <v>0</v>
      </c>
      <c r="I6">
        <f t="shared" si="3"/>
        <v>139900000</v>
      </c>
      <c r="O6">
        <v>5</v>
      </c>
      <c r="P6">
        <v>25</v>
      </c>
      <c r="Q6">
        <v>26</v>
      </c>
    </row>
    <row r="7" spans="1:17">
      <c r="A7" s="17" t="s">
        <v>146</v>
      </c>
      <c r="B7" s="18">
        <v>3000000</v>
      </c>
      <c r="C7" s="18">
        <v>0</v>
      </c>
      <c r="D7" s="3">
        <f t="shared" si="0"/>
        <v>3000000</v>
      </c>
      <c r="E7" s="19" t="s">
        <v>147</v>
      </c>
      <c r="F7">
        <v>19</v>
      </c>
      <c r="G7">
        <f t="shared" si="1"/>
        <v>57000000</v>
      </c>
      <c r="H7">
        <f t="shared" si="2"/>
        <v>0</v>
      </c>
      <c r="I7">
        <f t="shared" si="3"/>
        <v>57000000</v>
      </c>
      <c r="O7">
        <v>6</v>
      </c>
      <c r="P7">
        <v>24</v>
      </c>
      <c r="Q7">
        <v>25</v>
      </c>
    </row>
    <row r="8" spans="1:17">
      <c r="A8" s="17" t="s">
        <v>149</v>
      </c>
      <c r="B8" s="18">
        <v>3000000</v>
      </c>
      <c r="C8" s="18">
        <v>0</v>
      </c>
      <c r="D8" s="3">
        <f t="shared" si="0"/>
        <v>3000000</v>
      </c>
      <c r="E8" s="19" t="s">
        <v>147</v>
      </c>
      <c r="F8">
        <v>17</v>
      </c>
      <c r="G8">
        <f t="shared" si="1"/>
        <v>51000000</v>
      </c>
      <c r="H8">
        <f t="shared" si="2"/>
        <v>0</v>
      </c>
      <c r="I8">
        <f t="shared" si="3"/>
        <v>51000000</v>
      </c>
      <c r="O8">
        <v>7</v>
      </c>
      <c r="P8">
        <v>23</v>
      </c>
      <c r="Q8">
        <v>24</v>
      </c>
    </row>
    <row r="9" spans="1:17">
      <c r="A9" s="17" t="s">
        <v>151</v>
      </c>
      <c r="B9" s="18">
        <v>3000000</v>
      </c>
      <c r="C9" s="18">
        <v>0</v>
      </c>
      <c r="D9" s="3">
        <f t="shared" si="0"/>
        <v>3000000</v>
      </c>
      <c r="E9" s="21" t="s">
        <v>147</v>
      </c>
      <c r="F9">
        <v>16</v>
      </c>
      <c r="G9">
        <f t="shared" si="1"/>
        <v>48000000</v>
      </c>
      <c r="H9">
        <f t="shared" si="2"/>
        <v>0</v>
      </c>
      <c r="I9">
        <f t="shared" si="3"/>
        <v>48000000</v>
      </c>
      <c r="O9">
        <v>8</v>
      </c>
      <c r="P9">
        <v>22</v>
      </c>
      <c r="Q9">
        <v>23</v>
      </c>
    </row>
    <row r="10" spans="1:17">
      <c r="A10" s="17" t="s">
        <v>153</v>
      </c>
      <c r="B10" s="18">
        <v>-3200000</v>
      </c>
      <c r="C10" s="18">
        <v>-3200000</v>
      </c>
      <c r="D10" s="3">
        <f t="shared" si="0"/>
        <v>0</v>
      </c>
      <c r="E10" s="19" t="s">
        <v>154</v>
      </c>
      <c r="F10">
        <v>16</v>
      </c>
      <c r="G10">
        <f t="shared" si="1"/>
        <v>-51200000</v>
      </c>
      <c r="H10">
        <f t="shared" si="2"/>
        <v>-51200000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 t="s">
        <v>155</v>
      </c>
      <c r="B11" s="18">
        <v>-800000</v>
      </c>
      <c r="C11" s="18">
        <v>-800000</v>
      </c>
      <c r="D11" s="3">
        <f t="shared" si="0"/>
        <v>0</v>
      </c>
      <c r="E11" s="19" t="s">
        <v>154</v>
      </c>
      <c r="F11">
        <v>15</v>
      </c>
      <c r="G11">
        <f t="shared" si="1"/>
        <v>-12000000</v>
      </c>
      <c r="H11">
        <f t="shared" si="2"/>
        <v>-12000000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 t="s">
        <v>159</v>
      </c>
      <c r="B12" s="18">
        <v>-48393</v>
      </c>
      <c r="C12" s="18">
        <v>0</v>
      </c>
      <c r="D12" s="3">
        <f t="shared" si="0"/>
        <v>-48393</v>
      </c>
      <c r="E12" s="20" t="s">
        <v>160</v>
      </c>
      <c r="F12">
        <v>14</v>
      </c>
      <c r="G12">
        <f t="shared" si="1"/>
        <v>-677502</v>
      </c>
      <c r="H12">
        <f t="shared" si="2"/>
        <v>0</v>
      </c>
      <c r="I12">
        <f t="shared" si="3"/>
        <v>-677502</v>
      </c>
      <c r="O12">
        <v>11</v>
      </c>
      <c r="P12">
        <v>19</v>
      </c>
      <c r="Q12">
        <v>20</v>
      </c>
    </row>
    <row r="13" spans="1:17">
      <c r="A13" s="20" t="s">
        <v>157</v>
      </c>
      <c r="B13" s="18">
        <v>-140000</v>
      </c>
      <c r="C13" s="18">
        <v>0</v>
      </c>
      <c r="D13" s="3">
        <f t="shared" si="0"/>
        <v>-140000</v>
      </c>
      <c r="E13" s="20" t="s">
        <v>158</v>
      </c>
      <c r="F13">
        <v>13</v>
      </c>
      <c r="G13">
        <f>B13*F13</f>
        <v>-1820000</v>
      </c>
      <c r="H13">
        <f t="shared" si="2"/>
        <v>0</v>
      </c>
      <c r="I13">
        <f t="shared" si="3"/>
        <v>-1820000</v>
      </c>
      <c r="O13">
        <v>12</v>
      </c>
      <c r="P13">
        <v>18</v>
      </c>
      <c r="Q13">
        <v>19</v>
      </c>
    </row>
    <row r="14" spans="1:17">
      <c r="A14" s="20" t="s">
        <v>163</v>
      </c>
      <c r="B14" s="18">
        <v>-250000</v>
      </c>
      <c r="C14" s="18">
        <v>0</v>
      </c>
      <c r="D14" s="3">
        <f t="shared" si="0"/>
        <v>-250000</v>
      </c>
      <c r="E14" s="20" t="s">
        <v>164</v>
      </c>
      <c r="F14">
        <v>12</v>
      </c>
      <c r="G14">
        <f t="shared" si="1"/>
        <v>-3000000</v>
      </c>
      <c r="H14">
        <f t="shared" si="2"/>
        <v>0</v>
      </c>
      <c r="I14">
        <f t="shared" si="3"/>
        <v>-3000000</v>
      </c>
      <c r="O14">
        <v>13</v>
      </c>
      <c r="P14">
        <v>17</v>
      </c>
      <c r="Q14">
        <v>18</v>
      </c>
    </row>
    <row r="15" spans="1:17">
      <c r="A15" s="20" t="s">
        <v>162</v>
      </c>
      <c r="B15" s="18">
        <v>-200000</v>
      </c>
      <c r="C15" s="18">
        <v>0</v>
      </c>
      <c r="D15" s="3">
        <f t="shared" si="0"/>
        <v>-200000</v>
      </c>
      <c r="E15" s="20" t="s">
        <v>26</v>
      </c>
      <c r="F15">
        <v>11</v>
      </c>
      <c r="G15">
        <f t="shared" si="1"/>
        <v>-2200000</v>
      </c>
      <c r="H15">
        <f t="shared" si="2"/>
        <v>0</v>
      </c>
      <c r="I15">
        <f t="shared" si="3"/>
        <v>-2200000</v>
      </c>
      <c r="O15">
        <v>14</v>
      </c>
      <c r="P15">
        <v>16</v>
      </c>
      <c r="Q15">
        <v>17</v>
      </c>
    </row>
    <row r="16" spans="1:17">
      <c r="A16" s="20" t="s">
        <v>168</v>
      </c>
      <c r="B16" s="18">
        <v>1635200</v>
      </c>
      <c r="C16" s="18">
        <v>0</v>
      </c>
      <c r="D16" s="3">
        <f t="shared" si="0"/>
        <v>1635200</v>
      </c>
      <c r="E16" s="20" t="s">
        <v>169</v>
      </c>
      <c r="F16">
        <v>7</v>
      </c>
      <c r="G16">
        <f t="shared" si="1"/>
        <v>11446400</v>
      </c>
      <c r="H16">
        <f t="shared" si="2"/>
        <v>0</v>
      </c>
      <c r="I16">
        <f t="shared" si="3"/>
        <v>11446400</v>
      </c>
      <c r="O16">
        <v>15</v>
      </c>
      <c r="P16">
        <v>15</v>
      </c>
      <c r="Q16">
        <v>16</v>
      </c>
    </row>
    <row r="17" spans="1:17">
      <c r="A17" s="20" t="s">
        <v>172</v>
      </c>
      <c r="B17" s="18">
        <v>2500000</v>
      </c>
      <c r="C17" s="18">
        <v>0</v>
      </c>
      <c r="D17" s="3">
        <f t="shared" si="0"/>
        <v>2500000</v>
      </c>
      <c r="E17" s="20" t="s">
        <v>173</v>
      </c>
      <c r="F17">
        <v>3</v>
      </c>
      <c r="G17">
        <f t="shared" si="1"/>
        <v>7500000</v>
      </c>
      <c r="H17">
        <f t="shared" si="2"/>
        <v>0</v>
      </c>
      <c r="I17">
        <f t="shared" si="3"/>
        <v>7500000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28166959</v>
      </c>
      <c r="C24" s="3">
        <f>SUM(C2:C22)</f>
        <v>7622313</v>
      </c>
      <c r="D24" s="3">
        <f>SUM(D2:D22)</f>
        <v>20544646</v>
      </c>
      <c r="E24" s="2"/>
      <c r="O24">
        <v>23</v>
      </c>
      <c r="P24">
        <v>7</v>
      </c>
      <c r="Q24">
        <v>8</v>
      </c>
    </row>
    <row r="25" spans="1:17">
      <c r="G25">
        <f>SUM(G2:G23)</f>
        <v>625851089</v>
      </c>
      <c r="H25">
        <f>SUM(H2:H23)</f>
        <v>285365578</v>
      </c>
      <c r="I25">
        <f>SUM(I2:I23)</f>
        <v>340485511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26290000</v>
      </c>
      <c r="E30" t="s">
        <v>95</v>
      </c>
      <c r="G30" s="1">
        <v>186300</v>
      </c>
      <c r="H30" s="1">
        <f>G30*H25/G25</f>
        <v>84946.09678852855</v>
      </c>
      <c r="I30" s="1">
        <f>G30*I25/G25</f>
        <v>101353.90321147145</v>
      </c>
      <c r="O30">
        <v>29</v>
      </c>
      <c r="P30">
        <v>1</v>
      </c>
      <c r="Q30">
        <v>2</v>
      </c>
    </row>
    <row r="31" spans="1:17">
      <c r="D31" s="7">
        <v>605500</v>
      </c>
      <c r="E31" t="s">
        <v>142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-6995000</v>
      </c>
      <c r="E32" t="s">
        <v>145</v>
      </c>
      <c r="P32" t="s">
        <v>60</v>
      </c>
      <c r="Q32" t="s">
        <v>61</v>
      </c>
    </row>
    <row r="33" spans="4:5">
      <c r="D33" s="7">
        <v>-3000000</v>
      </c>
      <c r="E33" t="s">
        <v>148</v>
      </c>
    </row>
    <row r="34" spans="4:5">
      <c r="D34" s="7">
        <v>-3000000</v>
      </c>
      <c r="E34" t="s">
        <v>150</v>
      </c>
    </row>
    <row r="35" spans="4:5">
      <c r="D35" s="7">
        <v>-3000000</v>
      </c>
      <c r="E35" t="s">
        <v>152</v>
      </c>
    </row>
    <row r="36" spans="4:5">
      <c r="D36" s="7">
        <v>20000</v>
      </c>
      <c r="E36" t="s">
        <v>156</v>
      </c>
    </row>
    <row r="37" spans="4:5">
      <c r="D37" s="7">
        <v>80000</v>
      </c>
      <c r="E37" t="s">
        <v>161</v>
      </c>
    </row>
    <row r="38" spans="4:5">
      <c r="D38" s="7">
        <v>200000</v>
      </c>
      <c r="E38" t="s">
        <v>165</v>
      </c>
    </row>
    <row r="39" spans="4:5">
      <c r="D39" s="7">
        <v>-165300</v>
      </c>
      <c r="E39" t="s">
        <v>166</v>
      </c>
    </row>
    <row r="40" spans="4:5">
      <c r="D40" s="7">
        <v>-100000</v>
      </c>
      <c r="E40" t="s">
        <v>167</v>
      </c>
    </row>
    <row r="41" spans="4:5">
      <c r="D41" s="7">
        <v>-1635200</v>
      </c>
      <c r="E41" t="s">
        <v>169</v>
      </c>
    </row>
    <row r="42" spans="4:5">
      <c r="D42" s="7">
        <v>-200000</v>
      </c>
      <c r="E42" t="s">
        <v>170</v>
      </c>
    </row>
    <row r="43" spans="4:5">
      <c r="D43" s="7">
        <v>-2500000</v>
      </c>
      <c r="E43" t="s">
        <v>171</v>
      </c>
    </row>
    <row r="44" spans="4:5">
      <c r="D44" s="7"/>
    </row>
    <row r="45" spans="4:5">
      <c r="D45" s="7"/>
    </row>
    <row r="46" spans="4:5">
      <c r="D46" s="7" t="s">
        <v>25</v>
      </c>
    </row>
    <row r="47" spans="4:5">
      <c r="D47" s="7"/>
    </row>
    <row r="48" spans="4:5">
      <c r="D48" s="7" t="s">
        <v>25</v>
      </c>
    </row>
    <row r="50" spans="4:5">
      <c r="D50" s="7">
        <f>SUM(D30:D49)</f>
        <v>6600000</v>
      </c>
      <c r="E50" t="s">
        <v>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topLeftCell="A28" workbookViewId="0">
      <selection activeCell="G30" sqref="G30:I30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3.85546875" bestFit="1" customWidth="1"/>
    <col min="8" max="9" width="12" bestFit="1" customWidth="1"/>
    <col min="10" max="10" width="9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174</v>
      </c>
      <c r="B2" s="3">
        <f>'آبان 95'!B24</f>
        <v>28166959</v>
      </c>
      <c r="C2" s="1">
        <f>'آبان 95'!C24</f>
        <v>7622313</v>
      </c>
      <c r="D2" s="3">
        <f>B2-C2</f>
        <v>20544646</v>
      </c>
      <c r="E2" s="2" t="s">
        <v>59</v>
      </c>
      <c r="F2">
        <v>30</v>
      </c>
      <c r="G2">
        <f>B2*F2</f>
        <v>845008770</v>
      </c>
      <c r="H2">
        <f>C2*F2</f>
        <v>228669390</v>
      </c>
      <c r="I2">
        <f>D2*F2</f>
        <v>616339380</v>
      </c>
      <c r="O2">
        <v>1</v>
      </c>
      <c r="P2">
        <v>29</v>
      </c>
      <c r="Q2">
        <v>30</v>
      </c>
    </row>
    <row r="3" spans="1:17">
      <c r="A3" s="4" t="s">
        <v>175</v>
      </c>
      <c r="B3" s="1">
        <v>186300</v>
      </c>
      <c r="C3" s="1">
        <v>84950</v>
      </c>
      <c r="D3" s="3">
        <f t="shared" ref="D3:D22" si="0">B3-C3</f>
        <v>101350</v>
      </c>
      <c r="E3" s="5" t="s">
        <v>176</v>
      </c>
      <c r="F3">
        <v>29</v>
      </c>
      <c r="G3">
        <f t="shared" ref="G3:G23" si="1">B3*F3</f>
        <v>5402700</v>
      </c>
      <c r="H3">
        <f t="shared" ref="H3:H23" si="2">C3*F3</f>
        <v>2463550</v>
      </c>
      <c r="I3">
        <f t="shared" ref="I3:I23" si="3">D3*F3</f>
        <v>2939150</v>
      </c>
      <c r="O3">
        <v>2</v>
      </c>
      <c r="P3">
        <v>28</v>
      </c>
      <c r="Q3">
        <v>29</v>
      </c>
    </row>
    <row r="4" spans="1:17">
      <c r="A4" s="17" t="s">
        <v>192</v>
      </c>
      <c r="B4" s="18">
        <v>-200000</v>
      </c>
      <c r="C4" s="18">
        <v>0</v>
      </c>
      <c r="D4" s="3">
        <f t="shared" si="0"/>
        <v>-200000</v>
      </c>
      <c r="E4" s="19" t="s">
        <v>193</v>
      </c>
      <c r="F4">
        <v>27</v>
      </c>
      <c r="G4">
        <f t="shared" si="1"/>
        <v>-5400000</v>
      </c>
      <c r="H4">
        <f t="shared" si="2"/>
        <v>0</v>
      </c>
      <c r="I4">
        <f t="shared" si="3"/>
        <v>-5400000</v>
      </c>
      <c r="O4">
        <v>3</v>
      </c>
      <c r="P4">
        <v>27</v>
      </c>
      <c r="Q4">
        <v>28</v>
      </c>
    </row>
    <row r="5" spans="1:17">
      <c r="A5" s="20" t="s">
        <v>184</v>
      </c>
      <c r="B5" s="18">
        <v>-118000</v>
      </c>
      <c r="C5" s="18">
        <v>-69000</v>
      </c>
      <c r="D5" s="3">
        <f t="shared" si="0"/>
        <v>-49000</v>
      </c>
      <c r="E5" s="20" t="s">
        <v>194</v>
      </c>
      <c r="F5">
        <v>26</v>
      </c>
      <c r="G5">
        <f t="shared" si="1"/>
        <v>-3068000</v>
      </c>
      <c r="H5">
        <f t="shared" si="2"/>
        <v>-1794000</v>
      </c>
      <c r="I5">
        <f t="shared" si="3"/>
        <v>-1274000</v>
      </c>
      <c r="O5">
        <v>4</v>
      </c>
      <c r="P5">
        <v>26</v>
      </c>
      <c r="Q5">
        <v>27</v>
      </c>
    </row>
    <row r="6" spans="1:17">
      <c r="A6" s="17" t="s">
        <v>201</v>
      </c>
      <c r="B6" s="18">
        <v>-3200900</v>
      </c>
      <c r="C6" s="18">
        <v>0</v>
      </c>
      <c r="D6" s="3">
        <f t="shared" si="0"/>
        <v>-3200900</v>
      </c>
      <c r="E6" s="19" t="s">
        <v>202</v>
      </c>
      <c r="F6">
        <v>18</v>
      </c>
      <c r="G6">
        <f t="shared" si="1"/>
        <v>-57616200</v>
      </c>
      <c r="H6">
        <f t="shared" si="2"/>
        <v>0</v>
      </c>
      <c r="I6">
        <f t="shared" si="3"/>
        <v>-57616200</v>
      </c>
      <c r="O6">
        <v>5</v>
      </c>
      <c r="P6">
        <v>25</v>
      </c>
      <c r="Q6">
        <v>26</v>
      </c>
    </row>
    <row r="7" spans="1:17">
      <c r="A7" s="17" t="s">
        <v>207</v>
      </c>
      <c r="B7" s="18">
        <v>-3200900</v>
      </c>
      <c r="C7" s="18">
        <v>0</v>
      </c>
      <c r="D7" s="3">
        <f t="shared" si="0"/>
        <v>-3200900</v>
      </c>
      <c r="E7" s="19" t="s">
        <v>208</v>
      </c>
      <c r="F7">
        <v>17</v>
      </c>
      <c r="G7">
        <f t="shared" si="1"/>
        <v>-54415300</v>
      </c>
      <c r="H7">
        <f t="shared" si="2"/>
        <v>0</v>
      </c>
      <c r="I7">
        <f t="shared" si="3"/>
        <v>-54415300</v>
      </c>
      <c r="O7">
        <v>6</v>
      </c>
      <c r="P7">
        <v>24</v>
      </c>
      <c r="Q7">
        <v>25</v>
      </c>
    </row>
    <row r="8" spans="1:17">
      <c r="A8" s="17" t="s">
        <v>211</v>
      </c>
      <c r="B8" s="18">
        <v>-3200900</v>
      </c>
      <c r="C8" s="18">
        <v>0</v>
      </c>
      <c r="D8" s="3">
        <f t="shared" si="0"/>
        <v>-3200900</v>
      </c>
      <c r="E8" s="19" t="s">
        <v>212</v>
      </c>
      <c r="F8">
        <v>16</v>
      </c>
      <c r="G8">
        <f t="shared" si="1"/>
        <v>-51214400</v>
      </c>
      <c r="H8">
        <f t="shared" si="2"/>
        <v>0</v>
      </c>
      <c r="I8">
        <f t="shared" si="3"/>
        <v>-51214400</v>
      </c>
      <c r="O8">
        <v>7</v>
      </c>
      <c r="P8">
        <v>23</v>
      </c>
      <c r="Q8">
        <v>24</v>
      </c>
    </row>
    <row r="9" spans="1:17">
      <c r="A9" s="17" t="s">
        <v>216</v>
      </c>
      <c r="B9" s="18">
        <v>-3200900</v>
      </c>
      <c r="C9" s="18">
        <v>0</v>
      </c>
      <c r="D9" s="3">
        <f t="shared" si="0"/>
        <v>-3200900</v>
      </c>
      <c r="E9" s="21" t="s">
        <v>217</v>
      </c>
      <c r="F9">
        <v>15</v>
      </c>
      <c r="G9">
        <f t="shared" si="1"/>
        <v>-48013500</v>
      </c>
      <c r="H9">
        <f t="shared" si="2"/>
        <v>0</v>
      </c>
      <c r="I9">
        <f t="shared" si="3"/>
        <v>-48013500</v>
      </c>
      <c r="O9">
        <v>8</v>
      </c>
      <c r="P9">
        <v>22</v>
      </c>
      <c r="Q9">
        <v>23</v>
      </c>
    </row>
    <row r="10" spans="1:17">
      <c r="A10" s="17" t="s">
        <v>222</v>
      </c>
      <c r="B10" s="18">
        <v>-3200900</v>
      </c>
      <c r="C10" s="18">
        <v>0</v>
      </c>
      <c r="D10" s="3">
        <f t="shared" si="0"/>
        <v>-3200900</v>
      </c>
      <c r="E10" s="19" t="s">
        <v>223</v>
      </c>
      <c r="F10">
        <v>14</v>
      </c>
      <c r="G10">
        <f t="shared" si="1"/>
        <v>-44812600</v>
      </c>
      <c r="H10">
        <f t="shared" si="2"/>
        <v>0</v>
      </c>
      <c r="I10">
        <f t="shared" si="3"/>
        <v>-44812600</v>
      </c>
      <c r="O10">
        <v>9</v>
      </c>
      <c r="P10">
        <v>21</v>
      </c>
      <c r="Q10">
        <v>22</v>
      </c>
    </row>
    <row r="11" spans="1:17">
      <c r="A11" s="17" t="s">
        <v>225</v>
      </c>
      <c r="B11" s="18">
        <v>-3200900</v>
      </c>
      <c r="C11" s="18">
        <v>0</v>
      </c>
      <c r="D11" s="3">
        <f t="shared" si="0"/>
        <v>-3200900</v>
      </c>
      <c r="E11" s="19" t="s">
        <v>226</v>
      </c>
      <c r="F11">
        <v>13</v>
      </c>
      <c r="G11">
        <f t="shared" si="1"/>
        <v>-41611700</v>
      </c>
      <c r="H11">
        <f t="shared" si="2"/>
        <v>0</v>
      </c>
      <c r="I11">
        <f t="shared" si="3"/>
        <v>-41611700</v>
      </c>
      <c r="O11">
        <v>10</v>
      </c>
      <c r="P11">
        <v>20</v>
      </c>
      <c r="Q11">
        <v>21</v>
      </c>
    </row>
    <row r="12" spans="1:17">
      <c r="A12" s="20" t="s">
        <v>228</v>
      </c>
      <c r="B12" s="18">
        <v>-1196596</v>
      </c>
      <c r="C12" s="18">
        <v>0</v>
      </c>
      <c r="D12" s="3">
        <f t="shared" si="0"/>
        <v>-1196596</v>
      </c>
      <c r="E12" s="20" t="s">
        <v>229</v>
      </c>
      <c r="F12">
        <v>11</v>
      </c>
      <c r="G12">
        <f t="shared" si="1"/>
        <v>-13162556</v>
      </c>
      <c r="H12">
        <f t="shared" si="2"/>
        <v>0</v>
      </c>
      <c r="I12">
        <f t="shared" si="3"/>
        <v>-13162556</v>
      </c>
      <c r="O12">
        <v>11</v>
      </c>
      <c r="P12">
        <v>19</v>
      </c>
      <c r="Q12">
        <v>20</v>
      </c>
    </row>
    <row r="13" spans="1:17">
      <c r="A13" s="20" t="s">
        <v>237</v>
      </c>
      <c r="B13" s="18">
        <v>-200000</v>
      </c>
      <c r="C13" s="18">
        <v>0</v>
      </c>
      <c r="D13" s="3">
        <f t="shared" si="0"/>
        <v>-200000</v>
      </c>
      <c r="E13" s="20" t="s">
        <v>238</v>
      </c>
      <c r="F13">
        <v>1</v>
      </c>
      <c r="G13">
        <f>B13*F13</f>
        <v>-200000</v>
      </c>
      <c r="H13">
        <f t="shared" si="2"/>
        <v>0</v>
      </c>
      <c r="I13">
        <f t="shared" si="3"/>
        <v>-200000</v>
      </c>
      <c r="O13">
        <v>12</v>
      </c>
      <c r="P13">
        <v>18</v>
      </c>
      <c r="Q13">
        <v>19</v>
      </c>
    </row>
    <row r="14" spans="1:17">
      <c r="A14" s="20" t="s">
        <v>241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 t="s">
        <v>245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 t="s">
        <v>168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 t="s">
        <v>172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7433263</v>
      </c>
      <c r="C24" s="3">
        <f>SUM(C2:C22)</f>
        <v>7638263</v>
      </c>
      <c r="D24" s="3">
        <f>SUM(D2:D22)</f>
        <v>-205000</v>
      </c>
      <c r="E24" s="2"/>
      <c r="O24">
        <v>23</v>
      </c>
      <c r="P24">
        <v>7</v>
      </c>
      <c r="Q24">
        <v>8</v>
      </c>
    </row>
    <row r="25" spans="1:17">
      <c r="G25">
        <f>SUM(G2:G23)</f>
        <v>530897214</v>
      </c>
      <c r="H25">
        <f>SUM(H2:H23)</f>
        <v>229338940</v>
      </c>
      <c r="I25">
        <f>SUM(I2:I23)</f>
        <v>301558274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6600000</v>
      </c>
      <c r="E30" t="s">
        <v>95</v>
      </c>
      <c r="G30" s="1">
        <v>159558</v>
      </c>
      <c r="H30" s="1">
        <f>G30*H25/G25</f>
        <v>68926.454356040384</v>
      </c>
      <c r="I30" s="1">
        <f>G30*I25/G25</f>
        <v>90631.545643959616</v>
      </c>
      <c r="O30">
        <v>29</v>
      </c>
      <c r="P30">
        <v>1</v>
      </c>
      <c r="Q30">
        <v>2</v>
      </c>
    </row>
    <row r="31" spans="1:17">
      <c r="D31" s="7">
        <v>0</v>
      </c>
      <c r="E31" t="s">
        <v>177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0</v>
      </c>
      <c r="E32" t="s">
        <v>178</v>
      </c>
      <c r="P32" t="s">
        <v>60</v>
      </c>
      <c r="Q32" t="s">
        <v>61</v>
      </c>
    </row>
    <row r="33" spans="4:5">
      <c r="D33" s="7">
        <v>125000</v>
      </c>
      <c r="E33" t="s">
        <v>195</v>
      </c>
    </row>
    <row r="34" spans="4:5">
      <c r="D34" s="7">
        <v>-225000</v>
      </c>
      <c r="E34" t="s">
        <v>198</v>
      </c>
    </row>
    <row r="35" spans="4:5">
      <c r="D35" s="7">
        <v>15000000</v>
      </c>
      <c r="E35" t="s">
        <v>199</v>
      </c>
    </row>
    <row r="36" spans="4:5">
      <c r="D36" s="7">
        <v>-331500</v>
      </c>
      <c r="E36" t="s">
        <v>200</v>
      </c>
    </row>
    <row r="37" spans="4:5">
      <c r="D37" s="7">
        <v>-77000</v>
      </c>
      <c r="E37" t="s">
        <v>203</v>
      </c>
    </row>
    <row r="38" spans="4:5">
      <c r="D38" s="7">
        <v>15000000</v>
      </c>
      <c r="E38" t="s">
        <v>204</v>
      </c>
    </row>
    <row r="39" spans="4:5">
      <c r="D39" s="7">
        <v>5000</v>
      </c>
      <c r="E39" t="s">
        <v>205</v>
      </c>
    </row>
    <row r="40" spans="4:5">
      <c r="D40" s="7">
        <v>-347500</v>
      </c>
      <c r="E40" t="s">
        <v>206</v>
      </c>
    </row>
    <row r="41" spans="4:5">
      <c r="D41" s="7">
        <v>200000</v>
      </c>
      <c r="E41" t="s">
        <v>209</v>
      </c>
    </row>
    <row r="42" spans="4:5">
      <c r="D42" s="7">
        <v>-15000000</v>
      </c>
      <c r="E42" t="s">
        <v>210</v>
      </c>
    </row>
    <row r="43" spans="4:5">
      <c r="D43" s="7">
        <v>14900000</v>
      </c>
      <c r="E43" t="s">
        <v>213</v>
      </c>
    </row>
    <row r="44" spans="4:5">
      <c r="D44" s="7">
        <v>-308000</v>
      </c>
      <c r="E44" t="s">
        <v>214</v>
      </c>
    </row>
    <row r="45" spans="4:5">
      <c r="D45" s="7">
        <v>25000</v>
      </c>
      <c r="E45" t="s">
        <v>215</v>
      </c>
    </row>
    <row r="46" spans="4:5">
      <c r="D46" s="7">
        <v>3200000</v>
      </c>
      <c r="E46" t="s">
        <v>218</v>
      </c>
    </row>
    <row r="47" spans="4:5">
      <c r="D47" s="7">
        <v>3200000</v>
      </c>
      <c r="E47" t="s">
        <v>219</v>
      </c>
    </row>
    <row r="48" spans="4:5">
      <c r="D48" s="7">
        <v>-3800000</v>
      </c>
      <c r="E48" t="s">
        <v>220</v>
      </c>
    </row>
    <row r="49" spans="4:5">
      <c r="D49" s="7">
        <v>-25000000</v>
      </c>
      <c r="E49" t="s">
        <v>221</v>
      </c>
    </row>
    <row r="50" spans="4:5">
      <c r="D50" s="7">
        <v>200000</v>
      </c>
      <c r="E50" t="s">
        <v>224</v>
      </c>
    </row>
    <row r="51" spans="4:5" ht="30">
      <c r="D51" s="7">
        <v>-288330</v>
      </c>
      <c r="E51" s="22" t="s">
        <v>227</v>
      </c>
    </row>
    <row r="52" spans="4:5">
      <c r="D52" s="7">
        <v>5000</v>
      </c>
      <c r="E52" t="s">
        <v>230</v>
      </c>
    </row>
    <row r="53" spans="4:5">
      <c r="D53" s="7">
        <v>-3000000</v>
      </c>
      <c r="E53" t="s">
        <v>231</v>
      </c>
    </row>
    <row r="54" spans="4:5">
      <c r="D54" s="7">
        <v>100000</v>
      </c>
      <c r="E54" t="s">
        <v>236</v>
      </c>
    </row>
    <row r="55" spans="4:5">
      <c r="D55" s="7">
        <v>200000</v>
      </c>
      <c r="E55" t="s">
        <v>239</v>
      </c>
    </row>
    <row r="56" spans="4:5">
      <c r="D56" s="7">
        <v>-75000</v>
      </c>
      <c r="E56" t="s">
        <v>243</v>
      </c>
    </row>
    <row r="57" spans="4:5">
      <c r="D57" s="7">
        <v>-45000</v>
      </c>
      <c r="E57" t="s">
        <v>244</v>
      </c>
    </row>
    <row r="58" spans="4:5">
      <c r="D58" s="7">
        <v>-114368</v>
      </c>
      <c r="E58" t="s">
        <v>247</v>
      </c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  <row r="65" spans="4:5">
      <c r="D65" s="7">
        <f>SUM(D30:D64)</f>
        <v>10148302</v>
      </c>
      <c r="E65" t="s">
        <v>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H34" sqref="H34"/>
    </sheetView>
  </sheetViews>
  <sheetFormatPr defaultRowHeight="15"/>
  <cols>
    <col min="2" max="2" width="16.140625" bestFit="1" customWidth="1"/>
    <col min="3" max="3" width="15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1.42578125" bestFit="1" customWidth="1"/>
    <col min="8" max="9" width="12" bestFit="1" customWidth="1"/>
    <col min="10" max="10" width="9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237</v>
      </c>
      <c r="B2" s="3">
        <f>'آذر 95'!B24</f>
        <v>7433263</v>
      </c>
      <c r="C2" s="1">
        <f>'آذر 95'!C24</f>
        <v>7638263</v>
      </c>
      <c r="D2" s="3">
        <f>B2-C2</f>
        <v>-205000</v>
      </c>
      <c r="E2" s="2" t="s">
        <v>59</v>
      </c>
      <c r="F2">
        <v>30</v>
      </c>
      <c r="G2">
        <f>B2*F2</f>
        <v>222997890</v>
      </c>
      <c r="H2">
        <f>C2*F2</f>
        <v>229147890</v>
      </c>
      <c r="I2">
        <f>D2*F2</f>
        <v>-6150000</v>
      </c>
      <c r="O2">
        <v>1</v>
      </c>
      <c r="P2">
        <v>29</v>
      </c>
      <c r="Q2">
        <v>30</v>
      </c>
    </row>
    <row r="3" spans="1:17">
      <c r="A3" s="20" t="s">
        <v>241</v>
      </c>
      <c r="B3" s="18">
        <v>159558</v>
      </c>
      <c r="C3" s="18">
        <v>68926</v>
      </c>
      <c r="D3" s="3">
        <f t="shared" ref="D3:D4" si="0">B3-C3</f>
        <v>90632</v>
      </c>
      <c r="E3" s="23" t="s">
        <v>242</v>
      </c>
      <c r="F3">
        <v>29</v>
      </c>
      <c r="G3">
        <f t="shared" ref="G3:G23" si="1">B3*F3</f>
        <v>4627182</v>
      </c>
      <c r="H3">
        <f t="shared" ref="H3:H23" si="2">C3*F3</f>
        <v>1998854</v>
      </c>
      <c r="I3">
        <f t="shared" ref="I3:I23" si="3">D3*F3</f>
        <v>2628328</v>
      </c>
      <c r="O3">
        <v>2</v>
      </c>
      <c r="P3">
        <v>28</v>
      </c>
      <c r="Q3">
        <v>29</v>
      </c>
    </row>
    <row r="4" spans="1:17">
      <c r="A4" s="20" t="s">
        <v>245</v>
      </c>
      <c r="B4" s="18">
        <v>114368</v>
      </c>
      <c r="C4" s="18">
        <v>0</v>
      </c>
      <c r="D4" s="3">
        <f t="shared" si="0"/>
        <v>114368</v>
      </c>
      <c r="E4" s="20" t="s">
        <v>246</v>
      </c>
      <c r="F4">
        <v>27</v>
      </c>
      <c r="G4">
        <f t="shared" si="1"/>
        <v>3087936</v>
      </c>
      <c r="H4">
        <f t="shared" si="2"/>
        <v>0</v>
      </c>
      <c r="I4">
        <f t="shared" si="3"/>
        <v>3087936</v>
      </c>
      <c r="O4">
        <v>3</v>
      </c>
      <c r="P4">
        <v>27</v>
      </c>
      <c r="Q4">
        <v>28</v>
      </c>
    </row>
    <row r="5" spans="1:17">
      <c r="A5" s="20" t="s">
        <v>248</v>
      </c>
      <c r="B5" s="18">
        <v>-1325000</v>
      </c>
      <c r="C5" s="18">
        <v>0</v>
      </c>
      <c r="D5" s="3">
        <f t="shared" ref="D5:D22" si="4">B5-C5</f>
        <v>-1325000</v>
      </c>
      <c r="E5" s="20" t="s">
        <v>249</v>
      </c>
      <c r="F5">
        <v>26</v>
      </c>
      <c r="G5">
        <f t="shared" si="1"/>
        <v>-34450000</v>
      </c>
      <c r="H5">
        <f t="shared" si="2"/>
        <v>0</v>
      </c>
      <c r="I5">
        <f t="shared" si="3"/>
        <v>-34450000</v>
      </c>
      <c r="O5">
        <v>4</v>
      </c>
      <c r="P5">
        <v>26</v>
      </c>
      <c r="Q5">
        <v>27</v>
      </c>
    </row>
    <row r="6" spans="1:17">
      <c r="A6" s="17" t="s">
        <v>250</v>
      </c>
      <c r="B6" s="18">
        <v>1325000</v>
      </c>
      <c r="C6" s="18">
        <v>0</v>
      </c>
      <c r="D6" s="3">
        <f t="shared" si="4"/>
        <v>1325000</v>
      </c>
      <c r="E6" s="19" t="s">
        <v>251</v>
      </c>
      <c r="F6">
        <v>18</v>
      </c>
      <c r="G6">
        <f t="shared" si="1"/>
        <v>23850000</v>
      </c>
      <c r="H6">
        <f t="shared" si="2"/>
        <v>0</v>
      </c>
      <c r="I6">
        <f t="shared" si="3"/>
        <v>23850000</v>
      </c>
      <c r="O6">
        <v>5</v>
      </c>
      <c r="P6">
        <v>25</v>
      </c>
      <c r="Q6">
        <v>26</v>
      </c>
    </row>
    <row r="7" spans="1:17">
      <c r="A7" s="17">
        <v>0</v>
      </c>
      <c r="B7" s="18">
        <v>0</v>
      </c>
      <c r="C7" s="18">
        <v>0</v>
      </c>
      <c r="D7" s="3">
        <f t="shared" si="4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>
        <v>0</v>
      </c>
      <c r="B8" s="18">
        <v>0</v>
      </c>
      <c r="C8" s="18">
        <v>0</v>
      </c>
      <c r="D8" s="3">
        <f t="shared" si="4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4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4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4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4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4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4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4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4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4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4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4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4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4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4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7707189</v>
      </c>
      <c r="C24" s="3">
        <f>SUM(C2:C22)</f>
        <v>7707189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>
      <c r="G25">
        <f>SUM(G2:G23)</f>
        <v>220113008</v>
      </c>
      <c r="H25">
        <f>SUM(H2:H23)</f>
        <v>231146744</v>
      </c>
      <c r="I25">
        <f>SUM(I2:I23)</f>
        <v>-11033736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10148302</v>
      </c>
      <c r="E30" t="s">
        <v>95</v>
      </c>
      <c r="G30" s="1">
        <v>66335</v>
      </c>
      <c r="H30" s="1">
        <f>G30*H25/G25</f>
        <v>69660.214098932309</v>
      </c>
      <c r="I30" s="1">
        <f>G30*I25/G25</f>
        <v>-3325.2140989323084</v>
      </c>
      <c r="O30">
        <v>29</v>
      </c>
      <c r="P30">
        <v>1</v>
      </c>
      <c r="Q30">
        <v>2</v>
      </c>
    </row>
    <row r="31" spans="1:17">
      <c r="D31" s="7">
        <v>-1340000</v>
      </c>
      <c r="E31" t="s">
        <v>252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200000</v>
      </c>
      <c r="E32" t="s">
        <v>253</v>
      </c>
      <c r="P32" t="s">
        <v>60</v>
      </c>
      <c r="Q32" t="s">
        <v>61</v>
      </c>
    </row>
    <row r="33" spans="4:5">
      <c r="D33" s="7">
        <v>45000</v>
      </c>
      <c r="E33" t="s">
        <v>254</v>
      </c>
    </row>
    <row r="34" spans="4:5">
      <c r="D34" s="7">
        <v>-150000</v>
      </c>
      <c r="E34" t="s">
        <v>255</v>
      </c>
    </row>
    <row r="35" spans="4:5">
      <c r="D35" s="7">
        <v>400000</v>
      </c>
      <c r="E35" t="s">
        <v>256</v>
      </c>
    </row>
    <row r="36" spans="4:5">
      <c r="D36" s="7">
        <v>-500000</v>
      </c>
      <c r="E36" t="s">
        <v>257</v>
      </c>
    </row>
    <row r="40" spans="4:5">
      <c r="D40" s="7"/>
    </row>
    <row r="41" spans="4:5">
      <c r="D41" s="7"/>
    </row>
    <row r="42" spans="4:5">
      <c r="D42" s="7"/>
    </row>
    <row r="43" spans="4:5">
      <c r="D43" s="7"/>
    </row>
    <row r="44" spans="4:5">
      <c r="D44" s="7"/>
    </row>
    <row r="45" spans="4:5">
      <c r="D45" s="7">
        <f>SUM(D30:D42)</f>
        <v>8803302</v>
      </c>
      <c r="E45" t="s">
        <v>6</v>
      </c>
    </row>
    <row r="46" spans="4:5">
      <c r="D46" s="7"/>
    </row>
    <row r="47" spans="4:5">
      <c r="D47" s="7"/>
    </row>
    <row r="48" spans="4:5">
      <c r="D48" s="7"/>
    </row>
    <row r="49" spans="4:5">
      <c r="D49" s="7"/>
    </row>
    <row r="50" spans="4:5">
      <c r="D50" s="7"/>
    </row>
    <row r="51" spans="4:5">
      <c r="D51" s="7"/>
      <c r="E51" s="22"/>
    </row>
    <row r="52" spans="4:5">
      <c r="D52" s="7"/>
    </row>
    <row r="53" spans="4:5">
      <c r="D53" s="7"/>
    </row>
    <row r="54" spans="4:5">
      <c r="D54" s="7"/>
    </row>
    <row r="55" spans="4:5">
      <c r="D55" s="7"/>
    </row>
    <row r="56" spans="4:5">
      <c r="D56" s="7"/>
    </row>
    <row r="57" spans="4:5">
      <c r="D57" s="7"/>
    </row>
    <row r="58" spans="4:5">
      <c r="D58" s="7"/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topLeftCell="A7" workbookViewId="0">
      <selection activeCell="G30" sqref="G30"/>
    </sheetView>
  </sheetViews>
  <sheetFormatPr defaultRowHeight="15"/>
  <cols>
    <col min="1" max="1" width="10.7109375" bestFit="1" customWidth="1"/>
    <col min="2" max="3" width="15.85546875" bestFit="1" customWidth="1"/>
    <col min="4" max="4" width="16.140625" bestFit="1" customWidth="1"/>
    <col min="5" max="5" width="88.28515625" bestFit="1" customWidth="1"/>
    <col min="6" max="6" width="18.85546875" bestFit="1" customWidth="1"/>
    <col min="7" max="7" width="11.42578125" bestFit="1" customWidth="1"/>
    <col min="8" max="8" width="12" bestFit="1" customWidth="1"/>
    <col min="9" max="9" width="12.7109375" bestFit="1" customWidth="1"/>
    <col min="10" max="10" width="5" customWidth="1"/>
    <col min="13" max="13" width="9.5703125" bestFit="1" customWidth="1"/>
    <col min="14" max="14" width="4.42578125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'دی 95'!B24</f>
        <v>7707189</v>
      </c>
      <c r="C2" s="1">
        <f>'دی 95'!C24</f>
        <v>7707189</v>
      </c>
      <c r="D2" s="3">
        <f>B2-C2</f>
        <v>0</v>
      </c>
      <c r="E2" s="2" t="s">
        <v>59</v>
      </c>
      <c r="F2">
        <v>30</v>
      </c>
      <c r="G2">
        <f>B2*F2</f>
        <v>231215670</v>
      </c>
      <c r="H2">
        <f>C2*F2</f>
        <v>231215670</v>
      </c>
      <c r="I2">
        <f>D2*F2</f>
        <v>0</v>
      </c>
      <c r="O2">
        <v>1</v>
      </c>
      <c r="P2">
        <v>29</v>
      </c>
      <c r="Q2">
        <v>30</v>
      </c>
    </row>
    <row r="3" spans="1:17">
      <c r="A3" s="20" t="s">
        <v>262</v>
      </c>
      <c r="B3" s="18">
        <v>66845</v>
      </c>
      <c r="C3" s="18">
        <v>66845</v>
      </c>
      <c r="D3" s="3">
        <f t="shared" ref="D3:D22" si="0">B3-C3</f>
        <v>0</v>
      </c>
      <c r="E3" s="23" t="s">
        <v>264</v>
      </c>
      <c r="F3">
        <v>29</v>
      </c>
      <c r="G3">
        <f t="shared" ref="G3:G23" si="1">B3*F3</f>
        <v>1938505</v>
      </c>
      <c r="H3">
        <f t="shared" ref="H3:H23" si="2">C3*F3</f>
        <v>1938505</v>
      </c>
      <c r="I3">
        <f t="shared" ref="I3:I23" si="3">D3*F3</f>
        <v>0</v>
      </c>
      <c r="O3">
        <v>2</v>
      </c>
      <c r="P3">
        <v>28</v>
      </c>
      <c r="Q3">
        <v>29</v>
      </c>
    </row>
    <row r="4" spans="1:17">
      <c r="A4" s="20" t="s">
        <v>263</v>
      </c>
      <c r="B4" s="18">
        <v>3000000</v>
      </c>
      <c r="C4" s="18">
        <v>0</v>
      </c>
      <c r="D4" s="3">
        <f t="shared" si="0"/>
        <v>3000000</v>
      </c>
      <c r="E4" s="20" t="s">
        <v>251</v>
      </c>
      <c r="F4">
        <v>26</v>
      </c>
      <c r="G4">
        <f t="shared" si="1"/>
        <v>78000000</v>
      </c>
      <c r="H4">
        <f t="shared" si="2"/>
        <v>0</v>
      </c>
      <c r="I4">
        <f t="shared" si="3"/>
        <v>78000000</v>
      </c>
      <c r="O4">
        <v>3</v>
      </c>
      <c r="P4">
        <v>27</v>
      </c>
      <c r="Q4">
        <v>28</v>
      </c>
    </row>
    <row r="5" spans="1:17">
      <c r="A5" s="30">
        <v>35014</v>
      </c>
      <c r="B5" s="18">
        <v>-1000000</v>
      </c>
      <c r="C5" s="18">
        <v>-1000000</v>
      </c>
      <c r="D5" s="3">
        <f t="shared" si="0"/>
        <v>0</v>
      </c>
      <c r="E5" s="20" t="s">
        <v>413</v>
      </c>
      <c r="F5">
        <v>20</v>
      </c>
      <c r="G5">
        <f t="shared" si="1"/>
        <v>-20000000</v>
      </c>
      <c r="H5">
        <f t="shared" si="2"/>
        <v>-20000000</v>
      </c>
      <c r="I5">
        <f t="shared" si="3"/>
        <v>0</v>
      </c>
      <c r="O5">
        <v>4</v>
      </c>
      <c r="P5">
        <v>26</v>
      </c>
      <c r="Q5">
        <v>27</v>
      </c>
    </row>
    <row r="6" spans="1:17">
      <c r="A6" s="17" t="s">
        <v>414</v>
      </c>
      <c r="B6" s="18">
        <v>3000000</v>
      </c>
      <c r="C6" s="18">
        <v>3000000</v>
      </c>
      <c r="D6" s="3">
        <f t="shared" si="0"/>
        <v>0</v>
      </c>
      <c r="E6" s="19" t="s">
        <v>412</v>
      </c>
      <c r="F6">
        <v>9</v>
      </c>
      <c r="G6">
        <f t="shared" si="1"/>
        <v>27000000</v>
      </c>
      <c r="H6">
        <f t="shared" si="2"/>
        <v>27000000</v>
      </c>
      <c r="I6">
        <f t="shared" si="3"/>
        <v>0</v>
      </c>
      <c r="O6">
        <v>5</v>
      </c>
      <c r="P6">
        <v>25</v>
      </c>
      <c r="Q6">
        <v>26</v>
      </c>
    </row>
    <row r="7" spans="1:17">
      <c r="A7" s="17" t="s">
        <v>343</v>
      </c>
      <c r="B7" s="18">
        <v>1120000</v>
      </c>
      <c r="C7" s="18">
        <v>1120000</v>
      </c>
      <c r="D7" s="3">
        <f t="shared" si="0"/>
        <v>0</v>
      </c>
      <c r="E7" s="19" t="s">
        <v>412</v>
      </c>
      <c r="F7">
        <v>8</v>
      </c>
      <c r="G7">
        <f t="shared" si="1"/>
        <v>8960000</v>
      </c>
      <c r="H7">
        <f t="shared" si="2"/>
        <v>8960000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 t="s">
        <v>343</v>
      </c>
      <c r="B8" s="18">
        <v>-3000000</v>
      </c>
      <c r="C8" s="18">
        <v>0</v>
      </c>
      <c r="D8" s="3">
        <f t="shared" si="0"/>
        <v>-3000000</v>
      </c>
      <c r="E8" s="19" t="s">
        <v>344</v>
      </c>
      <c r="F8">
        <v>9</v>
      </c>
      <c r="G8">
        <f t="shared" si="1"/>
        <v>-27000000</v>
      </c>
      <c r="H8">
        <f t="shared" si="2"/>
        <v>0</v>
      </c>
      <c r="I8">
        <f t="shared" si="3"/>
        <v>-27000000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10894034</v>
      </c>
      <c r="C24" s="3">
        <f>SUM(C2:C22)</f>
        <v>10894034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>
      <c r="G25">
        <f>SUM(G2:G23)</f>
        <v>300114175</v>
      </c>
      <c r="H25">
        <f>SUM(H2:H23)</f>
        <v>249114175</v>
      </c>
      <c r="I25">
        <f>SUM(I2:I23)</f>
        <v>51000000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8803302</v>
      </c>
      <c r="E30" t="s">
        <v>95</v>
      </c>
      <c r="G30" s="1">
        <v>90494</v>
      </c>
      <c r="H30" s="1">
        <f>G30*H25/G25</f>
        <v>75115.872658963883</v>
      </c>
      <c r="I30" s="1">
        <f>G30*I25/G25</f>
        <v>15378.127341036125</v>
      </c>
      <c r="O30">
        <v>29</v>
      </c>
      <c r="P30">
        <v>1</v>
      </c>
      <c r="Q30">
        <v>2</v>
      </c>
    </row>
    <row r="31" spans="1:17">
      <c r="D31" s="7">
        <v>-2000000</v>
      </c>
      <c r="E31" t="s">
        <v>258</v>
      </c>
      <c r="G31" s="9" t="s">
        <v>405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-120000</v>
      </c>
      <c r="E32" t="s">
        <v>259</v>
      </c>
      <c r="P32" t="s">
        <v>60</v>
      </c>
      <c r="Q32" t="s">
        <v>61</v>
      </c>
    </row>
    <row r="33" spans="4:5">
      <c r="D33" s="7">
        <v>-3000000</v>
      </c>
      <c r="E33" t="s">
        <v>260</v>
      </c>
    </row>
    <row r="34" spans="4:5">
      <c r="D34" s="7">
        <v>-150000</v>
      </c>
      <c r="E34" t="s">
        <v>265</v>
      </c>
    </row>
    <row r="35" spans="4:5">
      <c r="D35" s="7">
        <v>350000</v>
      </c>
      <c r="E35" t="s">
        <v>266</v>
      </c>
    </row>
    <row r="36" spans="4:5">
      <c r="D36" s="7">
        <v>-50000</v>
      </c>
      <c r="E36" t="s">
        <v>302</v>
      </c>
    </row>
    <row r="37" spans="4:5">
      <c r="D37" s="7">
        <v>242000</v>
      </c>
      <c r="E37" t="s">
        <v>323</v>
      </c>
    </row>
    <row r="38" spans="4:5">
      <c r="D38" s="7">
        <v>-40000</v>
      </c>
      <c r="E38" t="s">
        <v>329</v>
      </c>
    </row>
    <row r="39" spans="4:5">
      <c r="D39" s="7">
        <v>200000</v>
      </c>
      <c r="E39" t="s">
        <v>339</v>
      </c>
    </row>
    <row r="40" spans="4:5">
      <c r="D40" s="7">
        <v>73500</v>
      </c>
      <c r="E40" t="s">
        <v>340</v>
      </c>
    </row>
    <row r="41" spans="4:5">
      <c r="D41" s="7">
        <v>-67000</v>
      </c>
      <c r="E41" t="s">
        <v>341</v>
      </c>
    </row>
    <row r="42" spans="4:5">
      <c r="D42" s="7">
        <v>9000000</v>
      </c>
      <c r="E42" t="s">
        <v>342</v>
      </c>
    </row>
    <row r="43" spans="4:5">
      <c r="D43" s="7"/>
    </row>
    <row r="44" spans="4:5">
      <c r="D44" s="7"/>
    </row>
    <row r="45" spans="4:5">
      <c r="D45" s="7">
        <f>SUM(D30:D42)</f>
        <v>13241802</v>
      </c>
      <c r="E45" t="s">
        <v>6</v>
      </c>
    </row>
    <row r="46" spans="4:5">
      <c r="D46" s="7"/>
    </row>
    <row r="47" spans="4:5">
      <c r="D47" s="7"/>
    </row>
    <row r="48" spans="4:5">
      <c r="D48" s="7"/>
    </row>
    <row r="49" spans="4:5">
      <c r="D49" s="7"/>
    </row>
    <row r="50" spans="4:5">
      <c r="D50" s="7"/>
    </row>
    <row r="51" spans="4:5">
      <c r="D51" s="7"/>
      <c r="E51" s="22"/>
    </row>
    <row r="52" spans="4:5">
      <c r="D52" s="7"/>
    </row>
    <row r="53" spans="4:5">
      <c r="D53" s="7"/>
    </row>
    <row r="54" spans="4:5">
      <c r="D54" s="7"/>
    </row>
    <row r="55" spans="4:5">
      <c r="D55" s="7"/>
    </row>
    <row r="56" spans="4:5">
      <c r="D56" s="7"/>
    </row>
    <row r="57" spans="4:5">
      <c r="D57" s="7"/>
    </row>
    <row r="58" spans="4:5">
      <c r="D58" s="7"/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D13" workbookViewId="0">
      <selection activeCell="G30" sqref="G30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87.42578125" customWidth="1"/>
    <col min="6" max="6" width="18.85546875" bestFit="1" customWidth="1"/>
    <col min="7" max="7" width="15" bestFit="1" customWidth="1"/>
    <col min="8" max="9" width="12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'بهمن 95'!B24</f>
        <v>10894034</v>
      </c>
      <c r="C2" s="1">
        <f>'بهمن 95'!C24</f>
        <v>10894034</v>
      </c>
      <c r="D2" s="3">
        <f>B2-C2</f>
        <v>0</v>
      </c>
      <c r="E2" s="2" t="s">
        <v>59</v>
      </c>
      <c r="F2">
        <v>30</v>
      </c>
      <c r="G2">
        <f>B2*F2</f>
        <v>326821020</v>
      </c>
      <c r="H2">
        <f>C2*F2</f>
        <v>326821020</v>
      </c>
      <c r="I2">
        <f>D2*F2</f>
        <v>0</v>
      </c>
      <c r="O2">
        <v>1</v>
      </c>
      <c r="P2">
        <v>29</v>
      </c>
      <c r="Q2">
        <v>30</v>
      </c>
    </row>
    <row r="3" spans="1:17">
      <c r="A3" s="20" t="s">
        <v>403</v>
      </c>
      <c r="B3" s="18">
        <v>90494</v>
      </c>
      <c r="C3" s="18">
        <v>75115</v>
      </c>
      <c r="D3" s="3">
        <f t="shared" ref="D3:D22" si="0">B3-C3</f>
        <v>15379</v>
      </c>
      <c r="E3" s="23" t="s">
        <v>400</v>
      </c>
      <c r="F3">
        <v>29</v>
      </c>
      <c r="G3">
        <f t="shared" ref="G3:G23" si="1">B3*F3</f>
        <v>2624326</v>
      </c>
      <c r="H3">
        <f t="shared" ref="H3:H23" si="2">C3*F3</f>
        <v>2178335</v>
      </c>
      <c r="I3">
        <f t="shared" ref="I3:I23" si="3">D3*F3</f>
        <v>445991</v>
      </c>
      <c r="O3">
        <v>2</v>
      </c>
      <c r="P3">
        <v>28</v>
      </c>
      <c r="Q3">
        <v>29</v>
      </c>
    </row>
    <row r="4" spans="1:17">
      <c r="A4" s="20" t="s">
        <v>409</v>
      </c>
      <c r="B4" s="18">
        <v>-1700700</v>
      </c>
      <c r="C4" s="18">
        <v>0</v>
      </c>
      <c r="D4" s="3">
        <f t="shared" si="0"/>
        <v>-1700700</v>
      </c>
      <c r="E4" s="20" t="s">
        <v>415</v>
      </c>
      <c r="F4">
        <v>28</v>
      </c>
      <c r="G4">
        <f t="shared" si="1"/>
        <v>-47619600</v>
      </c>
      <c r="H4">
        <f t="shared" si="2"/>
        <v>0</v>
      </c>
      <c r="I4">
        <f t="shared" si="3"/>
        <v>-47619600</v>
      </c>
      <c r="O4">
        <v>3</v>
      </c>
      <c r="P4">
        <v>27</v>
      </c>
      <c r="Q4">
        <v>28</v>
      </c>
    </row>
    <row r="5" spans="1:17">
      <c r="A5" s="30" t="s">
        <v>427</v>
      </c>
      <c r="B5" s="18">
        <v>-1000500</v>
      </c>
      <c r="C5" s="18">
        <v>0</v>
      </c>
      <c r="D5" s="3">
        <f t="shared" si="0"/>
        <v>-1000500</v>
      </c>
      <c r="E5" s="20" t="s">
        <v>428</v>
      </c>
      <c r="F5">
        <v>24</v>
      </c>
      <c r="G5">
        <f t="shared" si="1"/>
        <v>-24012000</v>
      </c>
      <c r="H5">
        <f t="shared" si="2"/>
        <v>0</v>
      </c>
      <c r="I5">
        <f t="shared" si="3"/>
        <v>-24012000</v>
      </c>
      <c r="O5">
        <v>4</v>
      </c>
      <c r="P5">
        <v>26</v>
      </c>
      <c r="Q5">
        <v>27</v>
      </c>
    </row>
    <row r="6" spans="1:17">
      <c r="A6" s="17" t="s">
        <v>439</v>
      </c>
      <c r="B6" s="18">
        <v>20000000</v>
      </c>
      <c r="C6" s="18">
        <v>0</v>
      </c>
      <c r="D6" s="3">
        <f t="shared" si="0"/>
        <v>20000000</v>
      </c>
      <c r="E6" s="19" t="s">
        <v>440</v>
      </c>
      <c r="F6">
        <v>20</v>
      </c>
      <c r="G6">
        <f t="shared" si="1"/>
        <v>400000000</v>
      </c>
      <c r="H6">
        <f t="shared" si="2"/>
        <v>0</v>
      </c>
      <c r="I6">
        <f t="shared" si="3"/>
        <v>400000000</v>
      </c>
      <c r="O6">
        <v>5</v>
      </c>
      <c r="P6">
        <v>25</v>
      </c>
      <c r="Q6">
        <v>26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28283328</v>
      </c>
      <c r="C24" s="3">
        <f>SUM(C2:C22)</f>
        <v>10969149</v>
      </c>
      <c r="D24" s="3">
        <f>SUM(D2:D22)</f>
        <v>17314179</v>
      </c>
      <c r="E24" s="2"/>
      <c r="O24">
        <v>23</v>
      </c>
      <c r="P24">
        <v>7</v>
      </c>
      <c r="Q24">
        <v>8</v>
      </c>
    </row>
    <row r="25" spans="1:17">
      <c r="G25">
        <f>SUM(G2:G23)</f>
        <v>657813746</v>
      </c>
      <c r="H25">
        <f>SUM(H2:H23)</f>
        <v>328999355</v>
      </c>
      <c r="I25">
        <f>SUM(I2:I23)</f>
        <v>328814391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D29" s="41"/>
      <c r="E29" s="41" t="s">
        <v>85</v>
      </c>
      <c r="O29">
        <v>28</v>
      </c>
      <c r="P29">
        <v>2</v>
      </c>
      <c r="Q29">
        <v>3</v>
      </c>
    </row>
    <row r="30" spans="1:17">
      <c r="D30" s="42">
        <v>13241802</v>
      </c>
      <c r="E30" s="41" t="s">
        <v>95</v>
      </c>
      <c r="G30" s="1">
        <v>174678</v>
      </c>
      <c r="H30" s="1">
        <f>G30*H25/G25</f>
        <v>87363.557970845446</v>
      </c>
      <c r="I30" s="1">
        <f>G30*I25/G25</f>
        <v>87314.442029154554</v>
      </c>
      <c r="O30">
        <v>29</v>
      </c>
      <c r="P30">
        <v>1</v>
      </c>
      <c r="Q30">
        <v>2</v>
      </c>
    </row>
    <row r="31" spans="1:17">
      <c r="D31" s="42">
        <v>-3000000</v>
      </c>
      <c r="E31" s="41" t="s">
        <v>406</v>
      </c>
      <c r="G31" s="9" t="s">
        <v>408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42">
        <v>1750000</v>
      </c>
      <c r="E32" s="41" t="s">
        <v>407</v>
      </c>
      <c r="P32" t="s">
        <v>60</v>
      </c>
      <c r="Q32" t="s">
        <v>61</v>
      </c>
    </row>
    <row r="33" spans="4:7">
      <c r="D33" s="42">
        <v>8100000</v>
      </c>
      <c r="E33" s="41" t="s">
        <v>416</v>
      </c>
    </row>
    <row r="34" spans="4:7">
      <c r="D34" s="42">
        <v>595000</v>
      </c>
      <c r="E34" s="41" t="s">
        <v>417</v>
      </c>
    </row>
    <row r="35" spans="4:7">
      <c r="D35" s="42">
        <v>-1210000</v>
      </c>
      <c r="E35" s="41" t="s">
        <v>418</v>
      </c>
    </row>
    <row r="36" spans="4:7">
      <c r="D36" s="42">
        <v>-22000000</v>
      </c>
      <c r="E36" s="40" t="s">
        <v>419</v>
      </c>
    </row>
    <row r="37" spans="4:7">
      <c r="D37" s="42">
        <v>3000000</v>
      </c>
      <c r="E37" s="41" t="s">
        <v>420</v>
      </c>
    </row>
    <row r="38" spans="4:7">
      <c r="D38" s="7">
        <v>3000000</v>
      </c>
      <c r="E38" s="41" t="s">
        <v>423</v>
      </c>
      <c r="G38">
        <f>G25*11/36500</f>
        <v>198245.23852054795</v>
      </c>
    </row>
    <row r="39" spans="4:7">
      <c r="D39" s="7">
        <v>-6000000</v>
      </c>
      <c r="E39" s="41" t="s">
        <v>433</v>
      </c>
    </row>
    <row r="40" spans="4:7">
      <c r="D40" s="7">
        <v>6000000</v>
      </c>
      <c r="E40" s="41" t="s">
        <v>437</v>
      </c>
    </row>
    <row r="41" spans="4:7">
      <c r="D41" s="7">
        <v>120000</v>
      </c>
      <c r="E41" s="41" t="s">
        <v>438</v>
      </c>
    </row>
    <row r="42" spans="4:7">
      <c r="D42" s="7">
        <v>-100000</v>
      </c>
      <c r="E42" s="41" t="s">
        <v>167</v>
      </c>
    </row>
    <row r="43" spans="4:7">
      <c r="D43" s="7">
        <v>200000</v>
      </c>
      <c r="E43" s="41" t="s">
        <v>445</v>
      </c>
    </row>
    <row r="44" spans="4:7">
      <c r="D44" s="7">
        <v>50000</v>
      </c>
      <c r="E44" s="41" t="s">
        <v>457</v>
      </c>
    </row>
    <row r="45" spans="4:7">
      <c r="D45" s="7">
        <v>-102000</v>
      </c>
      <c r="E45" s="41" t="s">
        <v>463</v>
      </c>
    </row>
    <row r="46" spans="4:7">
      <c r="D46" s="7">
        <v>660000</v>
      </c>
      <c r="E46" s="41" t="s">
        <v>464</v>
      </c>
    </row>
    <row r="47" spans="4:7">
      <c r="D47" s="7">
        <v>1000000</v>
      </c>
      <c r="E47" s="41" t="s">
        <v>467</v>
      </c>
    </row>
    <row r="48" spans="4:7">
      <c r="D48" s="7">
        <v>-509000</v>
      </c>
      <c r="E48" s="41" t="s">
        <v>468</v>
      </c>
    </row>
    <row r="49" spans="4:5">
      <c r="D49" s="7">
        <v>-168500</v>
      </c>
      <c r="E49" s="41" t="s">
        <v>469</v>
      </c>
    </row>
    <row r="50" spans="4:5">
      <c r="D50" s="7"/>
      <c r="E50" s="41"/>
    </row>
    <row r="51" spans="4:5">
      <c r="D51" s="7"/>
      <c r="E51" s="41"/>
    </row>
    <row r="52" spans="4:5">
      <c r="D52" s="7"/>
      <c r="E52" s="41" t="s">
        <v>25</v>
      </c>
    </row>
    <row r="53" spans="4:5">
      <c r="D53" s="7"/>
      <c r="E53" s="41" t="s">
        <v>25</v>
      </c>
    </row>
    <row r="54" spans="4:5">
      <c r="D54" s="7" t="s">
        <v>25</v>
      </c>
      <c r="E54" s="41" t="s">
        <v>25</v>
      </c>
    </row>
    <row r="55" spans="4:5">
      <c r="D55" s="7">
        <f>SUM(D30:D54)</f>
        <v>4627302</v>
      </c>
      <c r="E55" t="s">
        <v>6</v>
      </c>
    </row>
    <row r="56" spans="4:5">
      <c r="D56" s="7"/>
    </row>
    <row r="57" spans="4:5">
      <c r="D57" s="7"/>
    </row>
    <row r="58" spans="4:5">
      <c r="D58" s="7"/>
    </row>
    <row r="59" spans="4:5">
      <c r="D59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6"/>
  <sheetViews>
    <sheetView zoomScaleNormal="100" workbookViewId="0">
      <pane ySplit="1" topLeftCell="A145" activePane="bottomLeft" state="frozen"/>
      <selection pane="bottomLeft" activeCell="F155" sqref="F155"/>
    </sheetView>
  </sheetViews>
  <sheetFormatPr defaultRowHeight="15"/>
  <cols>
    <col min="1" max="1" width="10.7109375" bestFit="1" customWidth="1"/>
    <col min="2" max="2" width="16.85546875" bestFit="1" customWidth="1"/>
    <col min="3" max="3" width="15.85546875" customWidth="1"/>
    <col min="4" max="4" width="16.85546875" bestFit="1" customWidth="1"/>
    <col min="5" max="5" width="55.85546875" bestFit="1" customWidth="1"/>
    <col min="6" max="6" width="20.7109375" customWidth="1"/>
    <col min="7" max="7" width="17.85546875" customWidth="1"/>
    <col min="8" max="8" width="23.5703125" customWidth="1"/>
    <col min="9" max="9" width="20.85546875" customWidth="1"/>
    <col min="10" max="11" width="20.7109375" bestFit="1" customWidth="1"/>
    <col min="12" max="13" width="17.85546875" bestFit="1" customWidth="1"/>
    <col min="14" max="14" width="16.140625" bestFit="1" customWidth="1"/>
    <col min="15" max="15" width="15.140625" bestFit="1" customWidth="1"/>
  </cols>
  <sheetData>
    <row r="1" spans="1:11" ht="26.25" customHeight="1">
      <c r="A1" s="11" t="s">
        <v>180</v>
      </c>
      <c r="B1" s="11" t="s">
        <v>267</v>
      </c>
      <c r="C1" s="11" t="s">
        <v>4</v>
      </c>
      <c r="D1" s="11" t="s">
        <v>483</v>
      </c>
      <c r="E1" s="11" t="s">
        <v>25</v>
      </c>
      <c r="F1" s="36" t="s">
        <v>280</v>
      </c>
      <c r="G1" s="36" t="s">
        <v>281</v>
      </c>
      <c r="H1" s="36" t="s">
        <v>285</v>
      </c>
      <c r="I1" s="11" t="s">
        <v>35</v>
      </c>
      <c r="J1" s="53" t="s">
        <v>36</v>
      </c>
      <c r="K1" s="53" t="s">
        <v>484</v>
      </c>
    </row>
    <row r="2" spans="1:11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 s="36">
        <v>1</v>
      </c>
      <c r="G2" s="36">
        <f>G3+F2</f>
        <v>744</v>
      </c>
      <c r="H2" s="36">
        <f>IF(B2&gt;0,1,0)</f>
        <v>1</v>
      </c>
      <c r="I2" s="11">
        <f>B2*(G2-H2)</f>
        <v>12408100</v>
      </c>
      <c r="J2" s="53">
        <f>C2*(G2-H2)</f>
        <v>12408100</v>
      </c>
      <c r="K2" s="53">
        <f>D2*(G2-H2)</f>
        <v>0</v>
      </c>
    </row>
    <row r="3" spans="1:11">
      <c r="A3" s="2" t="s">
        <v>2</v>
      </c>
      <c r="B3" s="1">
        <v>19900000</v>
      </c>
      <c r="C3" s="1">
        <v>11387000</v>
      </c>
      <c r="D3" s="3">
        <f t="shared" ref="D3:D19" si="0">B3-C3</f>
        <v>8513000</v>
      </c>
      <c r="E3" s="2" t="s">
        <v>9</v>
      </c>
      <c r="F3" s="36">
        <v>0</v>
      </c>
      <c r="G3" s="36">
        <f t="shared" ref="G3:G66" si="1">G4+F3</f>
        <v>743</v>
      </c>
      <c r="H3" s="36">
        <f t="shared" ref="H3:H66" si="2">IF(B3&gt;0,1,0)</f>
        <v>1</v>
      </c>
      <c r="I3" s="11">
        <f t="shared" ref="I3:I66" si="3">B3*(G3-H3)</f>
        <v>14765800000</v>
      </c>
      <c r="J3" s="53">
        <f t="shared" ref="J3:J66" si="4">C3*(G3-H3)</f>
        <v>8449154000</v>
      </c>
      <c r="K3" s="53">
        <f t="shared" ref="K3:K66" si="5">D3*(G3-H3)</f>
        <v>6316646000</v>
      </c>
    </row>
    <row r="4" spans="1:11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 s="36">
        <v>2</v>
      </c>
      <c r="G4" s="36">
        <f t="shared" si="1"/>
        <v>743</v>
      </c>
      <c r="H4" s="36">
        <f t="shared" si="2"/>
        <v>0</v>
      </c>
      <c r="I4" s="11">
        <f t="shared" si="3"/>
        <v>0</v>
      </c>
      <c r="J4" s="53">
        <f t="shared" si="4"/>
        <v>6315500</v>
      </c>
      <c r="K4" s="53">
        <f t="shared" si="5"/>
        <v>-6315500</v>
      </c>
    </row>
    <row r="5" spans="1:11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 s="36">
        <v>7</v>
      </c>
      <c r="G5" s="36">
        <f t="shared" si="1"/>
        <v>741</v>
      </c>
      <c r="H5" s="36">
        <f t="shared" si="2"/>
        <v>1</v>
      </c>
      <c r="I5" s="11">
        <f t="shared" si="3"/>
        <v>1480000000</v>
      </c>
      <c r="J5" s="53">
        <f t="shared" si="4"/>
        <v>0</v>
      </c>
      <c r="K5" s="53">
        <f t="shared" si="5"/>
        <v>1480000000</v>
      </c>
    </row>
    <row r="6" spans="1:11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 s="36">
        <v>4</v>
      </c>
      <c r="G6" s="36">
        <f t="shared" si="1"/>
        <v>734</v>
      </c>
      <c r="H6" s="36">
        <f t="shared" si="2"/>
        <v>0</v>
      </c>
      <c r="I6" s="11">
        <f t="shared" si="3"/>
        <v>-3670000</v>
      </c>
      <c r="J6" s="53">
        <f t="shared" si="4"/>
        <v>0</v>
      </c>
      <c r="K6" s="53">
        <f t="shared" si="5"/>
        <v>-3670000</v>
      </c>
    </row>
    <row r="7" spans="1:11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 s="36">
        <v>1</v>
      </c>
      <c r="G7" s="36">
        <f t="shared" si="1"/>
        <v>730</v>
      </c>
      <c r="H7" s="36">
        <f t="shared" si="2"/>
        <v>0</v>
      </c>
      <c r="I7" s="11">
        <f t="shared" si="3"/>
        <v>-876365000</v>
      </c>
      <c r="J7" s="53">
        <f t="shared" si="4"/>
        <v>0</v>
      </c>
      <c r="K7" s="53">
        <f t="shared" si="5"/>
        <v>-876365000</v>
      </c>
    </row>
    <row r="8" spans="1:11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 s="36">
        <v>2</v>
      </c>
      <c r="G8" s="36">
        <f t="shared" si="1"/>
        <v>729</v>
      </c>
      <c r="H8" s="36">
        <f t="shared" si="2"/>
        <v>0</v>
      </c>
      <c r="I8" s="11">
        <f t="shared" si="3"/>
        <v>-145800000</v>
      </c>
      <c r="J8" s="53">
        <f t="shared" si="4"/>
        <v>0</v>
      </c>
      <c r="K8" s="53">
        <f t="shared" si="5"/>
        <v>-145800000</v>
      </c>
    </row>
    <row r="9" spans="1:11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 s="36">
        <v>9</v>
      </c>
      <c r="G9" s="36">
        <f t="shared" si="1"/>
        <v>727</v>
      </c>
      <c r="H9" s="36">
        <f t="shared" si="2"/>
        <v>0</v>
      </c>
      <c r="I9" s="11">
        <f t="shared" si="3"/>
        <v>-512898500</v>
      </c>
      <c r="J9" s="53">
        <f t="shared" si="4"/>
        <v>0</v>
      </c>
      <c r="K9" s="53">
        <f t="shared" si="5"/>
        <v>-512898500</v>
      </c>
    </row>
    <row r="10" spans="1:11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 s="36">
        <v>0</v>
      </c>
      <c r="G10" s="36">
        <f t="shared" si="1"/>
        <v>718</v>
      </c>
      <c r="H10" s="36">
        <f t="shared" si="2"/>
        <v>0</v>
      </c>
      <c r="I10" s="11">
        <f t="shared" si="3"/>
        <v>-143600000</v>
      </c>
      <c r="J10" s="53">
        <f t="shared" si="4"/>
        <v>0</v>
      </c>
      <c r="K10" s="53">
        <f t="shared" si="5"/>
        <v>-143600000</v>
      </c>
    </row>
    <row r="11" spans="1:11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 s="36">
        <v>4</v>
      </c>
      <c r="G11" s="36">
        <f t="shared" si="1"/>
        <v>718</v>
      </c>
      <c r="H11" s="36">
        <f t="shared" si="2"/>
        <v>1</v>
      </c>
      <c r="I11" s="11">
        <f t="shared" si="3"/>
        <v>717000000</v>
      </c>
      <c r="J11" s="53">
        <f t="shared" si="4"/>
        <v>0</v>
      </c>
      <c r="K11" s="53">
        <f t="shared" si="5"/>
        <v>717000000</v>
      </c>
    </row>
    <row r="12" spans="1:11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 s="36">
        <v>5</v>
      </c>
      <c r="G12" s="36">
        <f t="shared" si="1"/>
        <v>714</v>
      </c>
      <c r="H12" s="36">
        <f t="shared" si="2"/>
        <v>0</v>
      </c>
      <c r="I12" s="11">
        <f t="shared" si="3"/>
        <v>-214200000</v>
      </c>
      <c r="J12" s="53">
        <f t="shared" si="4"/>
        <v>0</v>
      </c>
      <c r="K12" s="53">
        <f t="shared" si="5"/>
        <v>-214200000</v>
      </c>
    </row>
    <row r="13" spans="1:11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 s="36">
        <v>0</v>
      </c>
      <c r="G13" s="36">
        <f t="shared" si="1"/>
        <v>709</v>
      </c>
      <c r="H13" s="36">
        <f t="shared" si="2"/>
        <v>0</v>
      </c>
      <c r="I13" s="11">
        <f t="shared" si="3"/>
        <v>-43958000</v>
      </c>
      <c r="J13" s="53">
        <f t="shared" si="4"/>
        <v>0</v>
      </c>
      <c r="K13" s="53">
        <f t="shared" si="5"/>
        <v>-43958000</v>
      </c>
    </row>
    <row r="14" spans="1:11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 s="36">
        <v>1</v>
      </c>
      <c r="G14" s="36">
        <f t="shared" si="1"/>
        <v>709</v>
      </c>
      <c r="H14" s="36">
        <f t="shared" si="2"/>
        <v>1</v>
      </c>
      <c r="I14" s="11">
        <f t="shared" si="3"/>
        <v>1416000000</v>
      </c>
      <c r="J14" s="53">
        <f t="shared" si="4"/>
        <v>0</v>
      </c>
      <c r="K14" s="53">
        <f t="shared" si="5"/>
        <v>1416000000</v>
      </c>
    </row>
    <row r="15" spans="1:11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 s="36">
        <v>0</v>
      </c>
      <c r="G15" s="36">
        <f t="shared" si="1"/>
        <v>708</v>
      </c>
      <c r="H15" s="36">
        <f t="shared" si="2"/>
        <v>1</v>
      </c>
      <c r="I15" s="11">
        <f t="shared" si="3"/>
        <v>1272600000</v>
      </c>
      <c r="J15" s="53">
        <f t="shared" si="4"/>
        <v>0</v>
      </c>
      <c r="K15" s="53">
        <f t="shared" si="5"/>
        <v>1272600000</v>
      </c>
    </row>
    <row r="16" spans="1:11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 s="36">
        <v>4</v>
      </c>
      <c r="G16" s="36">
        <f t="shared" si="1"/>
        <v>708</v>
      </c>
      <c r="H16" s="36">
        <f t="shared" si="2"/>
        <v>0</v>
      </c>
      <c r="I16" s="11">
        <f t="shared" si="3"/>
        <v>-141600000</v>
      </c>
      <c r="J16" s="53">
        <f t="shared" si="4"/>
        <v>0</v>
      </c>
      <c r="K16" s="53">
        <f t="shared" si="5"/>
        <v>-141600000</v>
      </c>
    </row>
    <row r="17" spans="1:12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 s="36">
        <v>1</v>
      </c>
      <c r="G17" s="36">
        <f t="shared" si="1"/>
        <v>704</v>
      </c>
      <c r="H17" s="36">
        <f t="shared" si="2"/>
        <v>0</v>
      </c>
      <c r="I17" s="11">
        <f t="shared" si="3"/>
        <v>-1408000000</v>
      </c>
      <c r="J17" s="53">
        <f t="shared" si="4"/>
        <v>0</v>
      </c>
      <c r="K17" s="53">
        <f t="shared" si="5"/>
        <v>-1408000000</v>
      </c>
      <c r="L17" t="s">
        <v>25</v>
      </c>
    </row>
    <row r="18" spans="1:12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 s="36">
        <v>1</v>
      </c>
      <c r="G18" s="36">
        <f t="shared" si="1"/>
        <v>703</v>
      </c>
      <c r="H18" s="36">
        <f t="shared" si="2"/>
        <v>0</v>
      </c>
      <c r="I18" s="11">
        <f t="shared" si="3"/>
        <v>-210900000</v>
      </c>
      <c r="J18" s="53">
        <f t="shared" si="4"/>
        <v>0</v>
      </c>
      <c r="K18" s="53">
        <f t="shared" si="5"/>
        <v>-210900000</v>
      </c>
    </row>
    <row r="19" spans="1:12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 s="36">
        <v>2</v>
      </c>
      <c r="G19" s="36">
        <f t="shared" si="1"/>
        <v>702</v>
      </c>
      <c r="H19" s="36">
        <f t="shared" si="2"/>
        <v>0</v>
      </c>
      <c r="I19" s="11">
        <f t="shared" si="3"/>
        <v>-140400000</v>
      </c>
      <c r="J19" s="53">
        <f t="shared" si="4"/>
        <v>0</v>
      </c>
      <c r="K19" s="53">
        <f t="shared" si="5"/>
        <v>-140400000</v>
      </c>
    </row>
    <row r="20" spans="1:12">
      <c r="A20" s="4">
        <v>34702</v>
      </c>
      <c r="B20" s="1">
        <v>271089</v>
      </c>
      <c r="C20" s="1">
        <v>147452</v>
      </c>
      <c r="D20" s="3">
        <f>B20-C20</f>
        <v>123637</v>
      </c>
      <c r="E20" s="5" t="s">
        <v>31</v>
      </c>
      <c r="F20" s="36">
        <v>2</v>
      </c>
      <c r="G20" s="36">
        <f t="shared" si="1"/>
        <v>700</v>
      </c>
      <c r="H20" s="36">
        <f t="shared" si="2"/>
        <v>1</v>
      </c>
      <c r="I20" s="11">
        <f t="shared" si="3"/>
        <v>189491211</v>
      </c>
      <c r="J20" s="53">
        <f t="shared" si="4"/>
        <v>103068948</v>
      </c>
      <c r="K20" s="53">
        <f t="shared" si="5"/>
        <v>86422263</v>
      </c>
    </row>
    <row r="21" spans="1:12">
      <c r="A21" s="4">
        <v>34761</v>
      </c>
      <c r="B21" s="1">
        <v>-1505700</v>
      </c>
      <c r="C21" s="1">
        <v>0</v>
      </c>
      <c r="D21" s="3">
        <f t="shared" ref="D21:D84" si="6">B21-C21</f>
        <v>-1505700</v>
      </c>
      <c r="E21" s="2" t="s">
        <v>32</v>
      </c>
      <c r="F21" s="36">
        <v>3</v>
      </c>
      <c r="G21" s="36">
        <f t="shared" si="1"/>
        <v>698</v>
      </c>
      <c r="H21" s="36">
        <f t="shared" si="2"/>
        <v>0</v>
      </c>
      <c r="I21" s="11">
        <f t="shared" si="3"/>
        <v>-1050978600</v>
      </c>
      <c r="J21" s="53">
        <f t="shared" si="4"/>
        <v>0</v>
      </c>
      <c r="K21" s="53">
        <f t="shared" si="5"/>
        <v>-1050978600</v>
      </c>
    </row>
    <row r="22" spans="1:12">
      <c r="A22" s="4">
        <v>34853</v>
      </c>
      <c r="B22" s="1">
        <v>3000000</v>
      </c>
      <c r="C22" s="1">
        <v>0</v>
      </c>
      <c r="D22" s="3">
        <f t="shared" si="6"/>
        <v>3000000</v>
      </c>
      <c r="E22" s="2" t="s">
        <v>33</v>
      </c>
      <c r="F22" s="36">
        <v>1</v>
      </c>
      <c r="G22" s="36">
        <f t="shared" si="1"/>
        <v>695</v>
      </c>
      <c r="H22" s="36">
        <f t="shared" si="2"/>
        <v>1</v>
      </c>
      <c r="I22" s="11">
        <f t="shared" si="3"/>
        <v>2082000000</v>
      </c>
      <c r="J22" s="53">
        <f t="shared" si="4"/>
        <v>0</v>
      </c>
      <c r="K22" s="53">
        <f t="shared" si="5"/>
        <v>2082000000</v>
      </c>
    </row>
    <row r="23" spans="1:12">
      <c r="A23" s="4">
        <v>34883</v>
      </c>
      <c r="B23" s="1">
        <v>1000000</v>
      </c>
      <c r="C23" s="1">
        <v>0</v>
      </c>
      <c r="D23" s="3">
        <f t="shared" si="6"/>
        <v>1000000</v>
      </c>
      <c r="E23" s="2" t="s">
        <v>34</v>
      </c>
      <c r="F23" s="36">
        <v>1</v>
      </c>
      <c r="G23" s="36">
        <f t="shared" si="1"/>
        <v>694</v>
      </c>
      <c r="H23" s="36">
        <f t="shared" si="2"/>
        <v>1</v>
      </c>
      <c r="I23" s="11">
        <f t="shared" si="3"/>
        <v>693000000</v>
      </c>
      <c r="J23" s="53">
        <f t="shared" si="4"/>
        <v>0</v>
      </c>
      <c r="K23" s="53">
        <f t="shared" si="5"/>
        <v>693000000</v>
      </c>
    </row>
    <row r="24" spans="1:12">
      <c r="A24" s="4">
        <v>34914</v>
      </c>
      <c r="B24" s="1">
        <v>-3000900</v>
      </c>
      <c r="C24" s="1">
        <v>0</v>
      </c>
      <c r="D24" s="3">
        <f t="shared" si="6"/>
        <v>-3000900</v>
      </c>
      <c r="E24" s="2" t="s">
        <v>43</v>
      </c>
      <c r="F24" s="36">
        <v>15</v>
      </c>
      <c r="G24" s="36">
        <f t="shared" si="1"/>
        <v>693</v>
      </c>
      <c r="H24" s="36">
        <f t="shared" si="2"/>
        <v>0</v>
      </c>
      <c r="I24" s="11">
        <f t="shared" si="3"/>
        <v>-2079623700</v>
      </c>
      <c r="J24" s="53">
        <f t="shared" si="4"/>
        <v>0</v>
      </c>
      <c r="K24" s="53">
        <f t="shared" si="5"/>
        <v>-2079623700</v>
      </c>
    </row>
    <row r="25" spans="1:12">
      <c r="A25" s="4" t="s">
        <v>44</v>
      </c>
      <c r="B25" s="1">
        <v>1500000</v>
      </c>
      <c r="C25" s="1">
        <v>0</v>
      </c>
      <c r="D25" s="3">
        <f t="shared" si="6"/>
        <v>1500000</v>
      </c>
      <c r="E25" s="2" t="s">
        <v>45</v>
      </c>
      <c r="F25" s="36">
        <v>8</v>
      </c>
      <c r="G25" s="36">
        <f t="shared" si="1"/>
        <v>678</v>
      </c>
      <c r="H25" s="36">
        <f t="shared" si="2"/>
        <v>1</v>
      </c>
      <c r="I25" s="11">
        <f t="shared" si="3"/>
        <v>1015500000</v>
      </c>
      <c r="J25" s="53">
        <f t="shared" si="4"/>
        <v>0</v>
      </c>
      <c r="K25" s="53">
        <f t="shared" si="5"/>
        <v>1015500000</v>
      </c>
    </row>
    <row r="26" spans="1:12">
      <c r="A26" s="4" t="s">
        <v>46</v>
      </c>
      <c r="B26" s="1">
        <v>-164000</v>
      </c>
      <c r="C26" s="1">
        <v>0</v>
      </c>
      <c r="D26" s="3">
        <f t="shared" si="6"/>
        <v>-164000</v>
      </c>
      <c r="E26" s="2" t="s">
        <v>47</v>
      </c>
      <c r="F26" s="36">
        <v>1</v>
      </c>
      <c r="G26" s="36">
        <f t="shared" si="1"/>
        <v>670</v>
      </c>
      <c r="H26" s="36">
        <f t="shared" si="2"/>
        <v>0</v>
      </c>
      <c r="I26" s="11">
        <f t="shared" si="3"/>
        <v>-109880000</v>
      </c>
      <c r="J26" s="53">
        <f t="shared" si="4"/>
        <v>0</v>
      </c>
      <c r="K26" s="53">
        <f t="shared" si="5"/>
        <v>-109880000</v>
      </c>
    </row>
    <row r="27" spans="1:12">
      <c r="A27" s="4">
        <v>34703</v>
      </c>
      <c r="B27" s="1">
        <v>199393</v>
      </c>
      <c r="C27" s="1">
        <v>107413</v>
      </c>
      <c r="D27" s="3">
        <f t="shared" si="6"/>
        <v>91980</v>
      </c>
      <c r="E27" s="5" t="s">
        <v>48</v>
      </c>
      <c r="F27" s="36">
        <v>2</v>
      </c>
      <c r="G27" s="36">
        <f t="shared" si="1"/>
        <v>669</v>
      </c>
      <c r="H27" s="36">
        <f t="shared" si="2"/>
        <v>1</v>
      </c>
      <c r="I27" s="11">
        <f t="shared" si="3"/>
        <v>133194524</v>
      </c>
      <c r="J27" s="53">
        <f t="shared" si="4"/>
        <v>71751884</v>
      </c>
      <c r="K27" s="53">
        <f t="shared" si="5"/>
        <v>61442640</v>
      </c>
    </row>
    <row r="28" spans="1:12">
      <c r="A28" s="4">
        <v>34762</v>
      </c>
      <c r="B28" s="1">
        <v>-221000</v>
      </c>
      <c r="C28" s="1">
        <v>-221000</v>
      </c>
      <c r="D28" s="3">
        <f>B28-C28</f>
        <v>0</v>
      </c>
      <c r="E28" s="2" t="s">
        <v>49</v>
      </c>
      <c r="F28" s="36">
        <v>0</v>
      </c>
      <c r="G28" s="36">
        <f t="shared" si="1"/>
        <v>667</v>
      </c>
      <c r="H28" s="36">
        <f t="shared" si="2"/>
        <v>0</v>
      </c>
      <c r="I28" s="11">
        <f t="shared" si="3"/>
        <v>-147407000</v>
      </c>
      <c r="J28" s="53">
        <f t="shared" si="4"/>
        <v>-147407000</v>
      </c>
      <c r="K28" s="53">
        <f t="shared" si="5"/>
        <v>0</v>
      </c>
    </row>
    <row r="29" spans="1:12">
      <c r="A29" s="4">
        <v>34762</v>
      </c>
      <c r="B29" s="1">
        <v>-500500</v>
      </c>
      <c r="C29" s="1">
        <v>0</v>
      </c>
      <c r="D29" s="3">
        <f t="shared" si="6"/>
        <v>-500500</v>
      </c>
      <c r="E29" s="2" t="s">
        <v>50</v>
      </c>
      <c r="F29" s="36">
        <v>0</v>
      </c>
      <c r="G29" s="36">
        <f t="shared" si="1"/>
        <v>667</v>
      </c>
      <c r="H29" s="36">
        <f t="shared" si="2"/>
        <v>0</v>
      </c>
      <c r="I29" s="11">
        <f t="shared" si="3"/>
        <v>-333833500</v>
      </c>
      <c r="J29" s="53">
        <f t="shared" si="4"/>
        <v>0</v>
      </c>
      <c r="K29" s="53">
        <f t="shared" si="5"/>
        <v>-333833500</v>
      </c>
    </row>
    <row r="30" spans="1:12">
      <c r="A30" s="4">
        <v>34762</v>
      </c>
      <c r="B30" s="1">
        <v>-15000000</v>
      </c>
      <c r="C30" s="1">
        <v>-15000000</v>
      </c>
      <c r="D30" s="3">
        <f t="shared" si="6"/>
        <v>0</v>
      </c>
      <c r="E30" s="2" t="s">
        <v>51</v>
      </c>
      <c r="F30" s="36">
        <v>17</v>
      </c>
      <c r="G30" s="36">
        <f t="shared" si="1"/>
        <v>667</v>
      </c>
      <c r="H30" s="36">
        <f t="shared" si="2"/>
        <v>0</v>
      </c>
      <c r="I30" s="11">
        <f t="shared" si="3"/>
        <v>-10005000000</v>
      </c>
      <c r="J30" s="53">
        <f t="shared" si="4"/>
        <v>-10005000000</v>
      </c>
      <c r="K30" s="53">
        <f t="shared" si="5"/>
        <v>0</v>
      </c>
    </row>
    <row r="31" spans="1:12">
      <c r="A31" s="4" t="s">
        <v>52</v>
      </c>
      <c r="B31" s="1">
        <v>-3010900</v>
      </c>
      <c r="C31" s="1">
        <v>0</v>
      </c>
      <c r="D31" s="3">
        <f t="shared" si="6"/>
        <v>-3010900</v>
      </c>
      <c r="E31" s="2" t="s">
        <v>53</v>
      </c>
      <c r="F31" s="36">
        <v>2</v>
      </c>
      <c r="G31" s="36">
        <f t="shared" si="1"/>
        <v>650</v>
      </c>
      <c r="H31" s="36">
        <f t="shared" si="2"/>
        <v>0</v>
      </c>
      <c r="I31" s="11">
        <f t="shared" si="3"/>
        <v>-1957085000</v>
      </c>
      <c r="J31" s="53">
        <f t="shared" si="4"/>
        <v>0</v>
      </c>
      <c r="K31" s="53">
        <f t="shared" si="5"/>
        <v>-1957085000</v>
      </c>
    </row>
    <row r="32" spans="1:12">
      <c r="A32" s="4" t="s">
        <v>54</v>
      </c>
      <c r="B32" s="1">
        <v>-3005900</v>
      </c>
      <c r="C32" s="1">
        <v>0</v>
      </c>
      <c r="D32" s="3">
        <f t="shared" si="6"/>
        <v>-3005900</v>
      </c>
      <c r="E32" s="2" t="s">
        <v>53</v>
      </c>
      <c r="F32" s="36">
        <v>1</v>
      </c>
      <c r="G32" s="36">
        <f t="shared" si="1"/>
        <v>648</v>
      </c>
      <c r="H32" s="36">
        <f t="shared" si="2"/>
        <v>0</v>
      </c>
      <c r="I32" s="11">
        <f t="shared" si="3"/>
        <v>-1947823200</v>
      </c>
      <c r="J32" s="53">
        <f t="shared" si="4"/>
        <v>0</v>
      </c>
      <c r="K32" s="53">
        <f t="shared" si="5"/>
        <v>-1947823200</v>
      </c>
    </row>
    <row r="33" spans="1:11">
      <c r="A33" s="4" t="s">
        <v>55</v>
      </c>
      <c r="B33" s="1">
        <v>-895500</v>
      </c>
      <c r="C33" s="1">
        <v>0</v>
      </c>
      <c r="D33" s="3">
        <f t="shared" si="6"/>
        <v>-895500</v>
      </c>
      <c r="E33" s="2" t="s">
        <v>53</v>
      </c>
      <c r="F33" s="36">
        <v>0</v>
      </c>
      <c r="G33" s="36">
        <f t="shared" si="1"/>
        <v>647</v>
      </c>
      <c r="H33" s="36">
        <f t="shared" si="2"/>
        <v>0</v>
      </c>
      <c r="I33" s="11">
        <f t="shared" si="3"/>
        <v>-579388500</v>
      </c>
      <c r="J33" s="53">
        <f t="shared" si="4"/>
        <v>0</v>
      </c>
      <c r="K33" s="53">
        <f t="shared" si="5"/>
        <v>-579388500</v>
      </c>
    </row>
    <row r="34" spans="1:11">
      <c r="A34" s="4" t="s">
        <v>55</v>
      </c>
      <c r="B34" s="1">
        <v>0</v>
      </c>
      <c r="C34" s="1">
        <v>1000000</v>
      </c>
      <c r="D34" s="3">
        <f t="shared" si="6"/>
        <v>-1000000</v>
      </c>
      <c r="E34" s="2" t="s">
        <v>56</v>
      </c>
      <c r="F34" s="36">
        <v>9</v>
      </c>
      <c r="G34" s="36">
        <f t="shared" si="1"/>
        <v>647</v>
      </c>
      <c r="H34" s="36">
        <f t="shared" si="2"/>
        <v>0</v>
      </c>
      <c r="I34" s="11">
        <f t="shared" si="3"/>
        <v>0</v>
      </c>
      <c r="J34" s="53">
        <f t="shared" si="4"/>
        <v>647000000</v>
      </c>
      <c r="K34" s="53">
        <f t="shared" si="5"/>
        <v>-647000000</v>
      </c>
    </row>
    <row r="35" spans="1:11">
      <c r="A35" s="4" t="s">
        <v>57</v>
      </c>
      <c r="B35" s="1">
        <v>52472</v>
      </c>
      <c r="C35" s="1">
        <v>-21663</v>
      </c>
      <c r="D35" s="3">
        <f t="shared" si="6"/>
        <v>74135</v>
      </c>
      <c r="E35" s="5" t="s">
        <v>68</v>
      </c>
      <c r="F35" s="36">
        <v>0</v>
      </c>
      <c r="G35" s="36">
        <f t="shared" si="1"/>
        <v>638</v>
      </c>
      <c r="H35" s="36">
        <f t="shared" si="2"/>
        <v>1</v>
      </c>
      <c r="I35" s="11">
        <f t="shared" si="3"/>
        <v>33424664</v>
      </c>
      <c r="J35" s="53">
        <f t="shared" si="4"/>
        <v>-13799331</v>
      </c>
      <c r="K35" s="53">
        <f t="shared" si="5"/>
        <v>47223995</v>
      </c>
    </row>
    <row r="36" spans="1:11">
      <c r="A36" s="4" t="s">
        <v>57</v>
      </c>
      <c r="B36" s="1">
        <v>0</v>
      </c>
      <c r="C36" s="1">
        <v>21663</v>
      </c>
      <c r="D36" s="3">
        <f t="shared" si="6"/>
        <v>-21663</v>
      </c>
      <c r="E36" s="2" t="s">
        <v>70</v>
      </c>
      <c r="F36" s="36">
        <v>10</v>
      </c>
      <c r="G36" s="36">
        <f t="shared" si="1"/>
        <v>638</v>
      </c>
      <c r="H36" s="36">
        <f t="shared" si="2"/>
        <v>0</v>
      </c>
      <c r="I36" s="11">
        <f t="shared" si="3"/>
        <v>0</v>
      </c>
      <c r="J36" s="53">
        <f t="shared" si="4"/>
        <v>13820994</v>
      </c>
      <c r="K36" s="53">
        <f t="shared" si="5"/>
        <v>-13820994</v>
      </c>
    </row>
    <row r="37" spans="1:11">
      <c r="A37" s="11" t="s">
        <v>80</v>
      </c>
      <c r="B37" s="1">
        <v>-55000</v>
      </c>
      <c r="C37" s="1">
        <v>0</v>
      </c>
      <c r="D37" s="14">
        <f t="shared" si="6"/>
        <v>-55000</v>
      </c>
      <c r="E37" s="12" t="s">
        <v>81</v>
      </c>
      <c r="F37" s="36">
        <v>1</v>
      </c>
      <c r="G37" s="36">
        <f t="shared" si="1"/>
        <v>628</v>
      </c>
      <c r="H37" s="36">
        <f t="shared" si="2"/>
        <v>0</v>
      </c>
      <c r="I37" s="11">
        <f t="shared" si="3"/>
        <v>-34540000</v>
      </c>
      <c r="J37" s="53">
        <f t="shared" si="4"/>
        <v>0</v>
      </c>
      <c r="K37" s="53">
        <f t="shared" si="5"/>
        <v>-34540000</v>
      </c>
    </row>
    <row r="38" spans="1:11">
      <c r="A38" s="4" t="s">
        <v>71</v>
      </c>
      <c r="B38" s="1">
        <v>3000000</v>
      </c>
      <c r="C38" s="1">
        <v>3000000</v>
      </c>
      <c r="D38" s="3">
        <f t="shared" si="6"/>
        <v>0</v>
      </c>
      <c r="E38" s="2" t="s">
        <v>72</v>
      </c>
      <c r="F38" s="36">
        <v>1</v>
      </c>
      <c r="G38" s="36">
        <f t="shared" si="1"/>
        <v>627</v>
      </c>
      <c r="H38" s="36">
        <f t="shared" si="2"/>
        <v>1</v>
      </c>
      <c r="I38" s="11">
        <f t="shared" si="3"/>
        <v>1878000000</v>
      </c>
      <c r="J38" s="53">
        <f t="shared" si="4"/>
        <v>1878000000</v>
      </c>
      <c r="K38" s="53">
        <f t="shared" si="5"/>
        <v>0</v>
      </c>
    </row>
    <row r="39" spans="1:11">
      <c r="A39" s="4" t="s">
        <v>73</v>
      </c>
      <c r="B39" s="1">
        <v>2500000</v>
      </c>
      <c r="C39" s="1">
        <v>2500000</v>
      </c>
      <c r="D39" s="3">
        <f t="shared" si="6"/>
        <v>0</v>
      </c>
      <c r="E39" s="2" t="s">
        <v>74</v>
      </c>
      <c r="F39" s="36">
        <v>0</v>
      </c>
      <c r="G39" s="36">
        <f t="shared" si="1"/>
        <v>626</v>
      </c>
      <c r="H39" s="36">
        <f t="shared" si="2"/>
        <v>1</v>
      </c>
      <c r="I39" s="11">
        <f t="shared" si="3"/>
        <v>1562500000</v>
      </c>
      <c r="J39" s="53">
        <f t="shared" si="4"/>
        <v>1562500000</v>
      </c>
      <c r="K39" s="53">
        <f t="shared" si="5"/>
        <v>0</v>
      </c>
    </row>
    <row r="40" spans="1:11">
      <c r="A40" s="4" t="s">
        <v>73</v>
      </c>
      <c r="B40" s="1">
        <v>-50000</v>
      </c>
      <c r="C40" s="1">
        <v>0</v>
      </c>
      <c r="D40" s="14">
        <f t="shared" si="6"/>
        <v>-50000</v>
      </c>
      <c r="E40" s="13" t="s">
        <v>75</v>
      </c>
      <c r="F40" s="36">
        <v>0</v>
      </c>
      <c r="G40" s="36">
        <f t="shared" si="1"/>
        <v>626</v>
      </c>
      <c r="H40" s="36">
        <f t="shared" si="2"/>
        <v>0</v>
      </c>
      <c r="I40" s="11">
        <f t="shared" si="3"/>
        <v>-31300000</v>
      </c>
      <c r="J40" s="53">
        <f t="shared" si="4"/>
        <v>0</v>
      </c>
      <c r="K40" s="53">
        <f t="shared" si="5"/>
        <v>-31300000</v>
      </c>
    </row>
    <row r="41" spans="1:11">
      <c r="A41" s="4" t="s">
        <v>73</v>
      </c>
      <c r="B41" s="1">
        <v>3000000</v>
      </c>
      <c r="C41" s="1">
        <v>0</v>
      </c>
      <c r="D41" s="3">
        <f t="shared" si="6"/>
        <v>3000000</v>
      </c>
      <c r="E41" s="2" t="s">
        <v>82</v>
      </c>
      <c r="F41" s="36">
        <v>3</v>
      </c>
      <c r="G41" s="36">
        <f t="shared" si="1"/>
        <v>626</v>
      </c>
      <c r="H41" s="36">
        <f t="shared" si="2"/>
        <v>1</v>
      </c>
      <c r="I41" s="11">
        <f t="shared" si="3"/>
        <v>1875000000</v>
      </c>
      <c r="J41" s="53">
        <f t="shared" si="4"/>
        <v>0</v>
      </c>
      <c r="K41" s="53">
        <f t="shared" si="5"/>
        <v>1875000000</v>
      </c>
    </row>
    <row r="42" spans="1:11">
      <c r="A42" s="4" t="s">
        <v>76</v>
      </c>
      <c r="B42" s="1">
        <v>-89200</v>
      </c>
      <c r="C42" s="1">
        <v>0</v>
      </c>
      <c r="D42" s="14">
        <f t="shared" si="6"/>
        <v>-89200</v>
      </c>
      <c r="E42" s="13" t="s">
        <v>77</v>
      </c>
      <c r="F42" s="36">
        <v>4</v>
      </c>
      <c r="G42" s="36">
        <f t="shared" si="1"/>
        <v>623</v>
      </c>
      <c r="H42" s="36">
        <f t="shared" si="2"/>
        <v>0</v>
      </c>
      <c r="I42" s="11">
        <f t="shared" si="3"/>
        <v>-55571600</v>
      </c>
      <c r="J42" s="53">
        <f t="shared" si="4"/>
        <v>0</v>
      </c>
      <c r="K42" s="53">
        <f t="shared" si="5"/>
        <v>-55571600</v>
      </c>
    </row>
    <row r="43" spans="1:11">
      <c r="A43" s="4" t="s">
        <v>78</v>
      </c>
      <c r="B43" s="1">
        <v>-200000</v>
      </c>
      <c r="C43" s="1">
        <v>0</v>
      </c>
      <c r="D43" s="14">
        <f t="shared" si="6"/>
        <v>-200000</v>
      </c>
      <c r="E43" s="13" t="s">
        <v>79</v>
      </c>
      <c r="F43" s="36">
        <v>2</v>
      </c>
      <c r="G43" s="36">
        <f t="shared" si="1"/>
        <v>619</v>
      </c>
      <c r="H43" s="36">
        <f t="shared" si="2"/>
        <v>0</v>
      </c>
      <c r="I43" s="11">
        <f t="shared" si="3"/>
        <v>-123800000</v>
      </c>
      <c r="J43" s="53">
        <f t="shared" si="4"/>
        <v>0</v>
      </c>
      <c r="K43" s="53">
        <f t="shared" si="5"/>
        <v>-123800000</v>
      </c>
    </row>
    <row r="44" spans="1:11">
      <c r="A44" s="11" t="s">
        <v>83</v>
      </c>
      <c r="B44" s="1">
        <v>-200000</v>
      </c>
      <c r="C44" s="1">
        <v>0</v>
      </c>
      <c r="D44" s="15">
        <f t="shared" si="6"/>
        <v>-200000</v>
      </c>
      <c r="E44" s="12" t="s">
        <v>26</v>
      </c>
      <c r="F44" s="36">
        <v>0</v>
      </c>
      <c r="G44" s="36">
        <f t="shared" si="1"/>
        <v>617</v>
      </c>
      <c r="H44" s="36">
        <f t="shared" si="2"/>
        <v>0</v>
      </c>
      <c r="I44" s="11">
        <f t="shared" si="3"/>
        <v>-123400000</v>
      </c>
      <c r="J44" s="53">
        <f t="shared" si="4"/>
        <v>0</v>
      </c>
      <c r="K44" s="53">
        <f t="shared" si="5"/>
        <v>-123400000</v>
      </c>
    </row>
    <row r="45" spans="1:11">
      <c r="A45" s="11" t="s">
        <v>83</v>
      </c>
      <c r="B45" s="1">
        <v>-560000</v>
      </c>
      <c r="C45" s="1">
        <v>0</v>
      </c>
      <c r="D45" s="1">
        <f t="shared" si="6"/>
        <v>-560000</v>
      </c>
      <c r="E45" s="11" t="s">
        <v>84</v>
      </c>
      <c r="F45" s="36">
        <v>4</v>
      </c>
      <c r="G45" s="36">
        <f t="shared" si="1"/>
        <v>617</v>
      </c>
      <c r="H45" s="36">
        <f t="shared" si="2"/>
        <v>0</v>
      </c>
      <c r="I45" s="11">
        <f t="shared" si="3"/>
        <v>-345520000</v>
      </c>
      <c r="J45" s="53">
        <f t="shared" si="4"/>
        <v>0</v>
      </c>
      <c r="K45" s="53">
        <f t="shared" si="5"/>
        <v>-345520000</v>
      </c>
    </row>
    <row r="46" spans="1:11">
      <c r="A46" s="11" t="s">
        <v>87</v>
      </c>
      <c r="B46" s="1">
        <v>-705500</v>
      </c>
      <c r="C46" s="1">
        <v>0</v>
      </c>
      <c r="D46" s="15">
        <f t="shared" si="6"/>
        <v>-705500</v>
      </c>
      <c r="E46" s="16" t="s">
        <v>88</v>
      </c>
      <c r="F46" s="36">
        <v>6</v>
      </c>
      <c r="G46" s="36">
        <f t="shared" si="1"/>
        <v>613</v>
      </c>
      <c r="H46" s="36">
        <f t="shared" si="2"/>
        <v>0</v>
      </c>
      <c r="I46" s="11">
        <f t="shared" si="3"/>
        <v>-432471500</v>
      </c>
      <c r="J46" s="53">
        <f t="shared" si="4"/>
        <v>0</v>
      </c>
      <c r="K46" s="53">
        <f t="shared" si="5"/>
        <v>-432471500</v>
      </c>
    </row>
    <row r="47" spans="1:11">
      <c r="A47" s="4" t="s">
        <v>91</v>
      </c>
      <c r="B47" s="1">
        <v>41204</v>
      </c>
      <c r="C47" s="1">
        <v>6713</v>
      </c>
      <c r="D47" s="3">
        <f t="shared" si="6"/>
        <v>34491</v>
      </c>
      <c r="E47" s="5" t="s">
        <v>92</v>
      </c>
      <c r="F47" s="36">
        <v>0</v>
      </c>
      <c r="G47" s="36">
        <f t="shared" si="1"/>
        <v>607</v>
      </c>
      <c r="H47" s="36">
        <f t="shared" si="2"/>
        <v>1</v>
      </c>
      <c r="I47" s="11">
        <f t="shared" si="3"/>
        <v>24969624</v>
      </c>
      <c r="J47" s="53">
        <f t="shared" si="4"/>
        <v>4068078</v>
      </c>
      <c r="K47" s="53">
        <f t="shared" si="5"/>
        <v>20901546</v>
      </c>
    </row>
    <row r="48" spans="1:11">
      <c r="A48" s="17" t="s">
        <v>91</v>
      </c>
      <c r="B48" s="18">
        <v>1704700</v>
      </c>
      <c r="C48" s="18">
        <v>0</v>
      </c>
      <c r="D48" s="3">
        <f t="shared" si="6"/>
        <v>1704700</v>
      </c>
      <c r="E48" s="19" t="s">
        <v>93</v>
      </c>
      <c r="F48" s="36">
        <v>9</v>
      </c>
      <c r="G48" s="36">
        <f t="shared" si="1"/>
        <v>607</v>
      </c>
      <c r="H48" s="36">
        <f t="shared" si="2"/>
        <v>1</v>
      </c>
      <c r="I48" s="11">
        <f t="shared" si="3"/>
        <v>1033048200</v>
      </c>
      <c r="J48" s="53">
        <f t="shared" si="4"/>
        <v>0</v>
      </c>
      <c r="K48" s="53">
        <f t="shared" si="5"/>
        <v>1033048200</v>
      </c>
    </row>
    <row r="49" spans="1:11">
      <c r="A49" s="20" t="s">
        <v>96</v>
      </c>
      <c r="B49" s="18">
        <v>-155000</v>
      </c>
      <c r="C49" s="18">
        <v>0</v>
      </c>
      <c r="D49" s="3">
        <f t="shared" si="6"/>
        <v>-155000</v>
      </c>
      <c r="E49" s="20" t="s">
        <v>97</v>
      </c>
      <c r="F49" s="36">
        <v>0</v>
      </c>
      <c r="G49" s="36">
        <f t="shared" si="1"/>
        <v>598</v>
      </c>
      <c r="H49" s="36">
        <f t="shared" si="2"/>
        <v>0</v>
      </c>
      <c r="I49" s="11">
        <f t="shared" si="3"/>
        <v>-92690000</v>
      </c>
      <c r="J49" s="53">
        <f t="shared" si="4"/>
        <v>0</v>
      </c>
      <c r="K49" s="53">
        <f t="shared" si="5"/>
        <v>-92690000</v>
      </c>
    </row>
    <row r="50" spans="1:11">
      <c r="A50" s="17" t="s">
        <v>96</v>
      </c>
      <c r="B50" s="18">
        <v>-138000</v>
      </c>
      <c r="C50" s="18">
        <v>0</v>
      </c>
      <c r="D50" s="3">
        <f t="shared" si="6"/>
        <v>-138000</v>
      </c>
      <c r="E50" s="19" t="s">
        <v>98</v>
      </c>
      <c r="F50" s="36">
        <v>0</v>
      </c>
      <c r="G50" s="36">
        <f t="shared" si="1"/>
        <v>598</v>
      </c>
      <c r="H50" s="36">
        <f t="shared" si="2"/>
        <v>0</v>
      </c>
      <c r="I50" s="11">
        <f t="shared" si="3"/>
        <v>-82524000</v>
      </c>
      <c r="J50" s="53">
        <f t="shared" si="4"/>
        <v>0</v>
      </c>
      <c r="K50" s="53">
        <f t="shared" si="5"/>
        <v>-82524000</v>
      </c>
    </row>
    <row r="51" spans="1:11">
      <c r="A51" s="17" t="s">
        <v>96</v>
      </c>
      <c r="B51" s="18">
        <v>-740000</v>
      </c>
      <c r="C51" s="18">
        <v>0</v>
      </c>
      <c r="D51" s="3">
        <f t="shared" si="6"/>
        <v>-740000</v>
      </c>
      <c r="E51" s="19" t="s">
        <v>99</v>
      </c>
      <c r="F51" s="36">
        <v>0</v>
      </c>
      <c r="G51" s="36">
        <f t="shared" si="1"/>
        <v>598</v>
      </c>
      <c r="H51" s="36">
        <f t="shared" si="2"/>
        <v>0</v>
      </c>
      <c r="I51" s="11">
        <f t="shared" si="3"/>
        <v>-442520000</v>
      </c>
      <c r="J51" s="53">
        <f t="shared" si="4"/>
        <v>0</v>
      </c>
      <c r="K51" s="53">
        <f t="shared" si="5"/>
        <v>-442520000</v>
      </c>
    </row>
    <row r="52" spans="1:11">
      <c r="A52" s="17" t="s">
        <v>96</v>
      </c>
      <c r="B52" s="18">
        <v>-200000</v>
      </c>
      <c r="C52" s="18">
        <v>0</v>
      </c>
      <c r="D52" s="3">
        <f t="shared" si="6"/>
        <v>-200000</v>
      </c>
      <c r="E52" s="19" t="s">
        <v>100</v>
      </c>
      <c r="F52" s="36">
        <v>1</v>
      </c>
      <c r="G52" s="36">
        <f t="shared" si="1"/>
        <v>598</v>
      </c>
      <c r="H52" s="36">
        <f t="shared" si="2"/>
        <v>0</v>
      </c>
      <c r="I52" s="11">
        <f t="shared" si="3"/>
        <v>-119600000</v>
      </c>
      <c r="J52" s="53">
        <f t="shared" si="4"/>
        <v>0</v>
      </c>
      <c r="K52" s="53">
        <f t="shared" si="5"/>
        <v>-119600000</v>
      </c>
    </row>
    <row r="53" spans="1:11" ht="30">
      <c r="A53" s="17" t="s">
        <v>101</v>
      </c>
      <c r="B53" s="18">
        <v>-1055000</v>
      </c>
      <c r="C53" s="18">
        <v>0</v>
      </c>
      <c r="D53" s="3">
        <f t="shared" si="6"/>
        <v>-1055000</v>
      </c>
      <c r="E53" s="21" t="s">
        <v>102</v>
      </c>
      <c r="F53" s="36">
        <v>0</v>
      </c>
      <c r="G53" s="36">
        <f t="shared" si="1"/>
        <v>597</v>
      </c>
      <c r="H53" s="36">
        <f t="shared" si="2"/>
        <v>0</v>
      </c>
      <c r="I53" s="11">
        <f t="shared" si="3"/>
        <v>-629835000</v>
      </c>
      <c r="J53" s="53">
        <f t="shared" si="4"/>
        <v>0</v>
      </c>
      <c r="K53" s="53">
        <f t="shared" si="5"/>
        <v>-629835000</v>
      </c>
    </row>
    <row r="54" spans="1:11">
      <c r="A54" s="17" t="s">
        <v>101</v>
      </c>
      <c r="B54" s="18">
        <v>-200000</v>
      </c>
      <c r="C54" s="18">
        <v>0</v>
      </c>
      <c r="D54" s="3">
        <f t="shared" si="6"/>
        <v>-200000</v>
      </c>
      <c r="E54" s="19" t="s">
        <v>100</v>
      </c>
      <c r="F54" s="36">
        <v>0</v>
      </c>
      <c r="G54" s="36">
        <f t="shared" si="1"/>
        <v>597</v>
      </c>
      <c r="H54" s="36">
        <f t="shared" si="2"/>
        <v>0</v>
      </c>
      <c r="I54" s="11">
        <f t="shared" si="3"/>
        <v>-119400000</v>
      </c>
      <c r="J54" s="53">
        <f t="shared" si="4"/>
        <v>0</v>
      </c>
      <c r="K54" s="53">
        <f t="shared" si="5"/>
        <v>-119400000</v>
      </c>
    </row>
    <row r="55" spans="1:11">
      <c r="A55" s="17" t="s">
        <v>101</v>
      </c>
      <c r="B55" s="18">
        <v>-1000500</v>
      </c>
      <c r="C55" s="18">
        <v>0</v>
      </c>
      <c r="D55" s="3">
        <f t="shared" si="6"/>
        <v>-1000500</v>
      </c>
      <c r="E55" s="19" t="s">
        <v>103</v>
      </c>
      <c r="F55" s="36">
        <v>0</v>
      </c>
      <c r="G55" s="36">
        <f t="shared" si="1"/>
        <v>597</v>
      </c>
      <c r="H55" s="36">
        <f t="shared" si="2"/>
        <v>0</v>
      </c>
      <c r="I55" s="11">
        <f t="shared" si="3"/>
        <v>-597298500</v>
      </c>
      <c r="J55" s="53">
        <f t="shared" si="4"/>
        <v>0</v>
      </c>
      <c r="K55" s="53">
        <f t="shared" si="5"/>
        <v>-597298500</v>
      </c>
    </row>
    <row r="56" spans="1:11">
      <c r="A56" s="20" t="s">
        <v>101</v>
      </c>
      <c r="B56" s="18">
        <v>-38000</v>
      </c>
      <c r="C56" s="18">
        <v>0</v>
      </c>
      <c r="D56" s="3">
        <f t="shared" si="6"/>
        <v>-38000</v>
      </c>
      <c r="E56" s="20" t="s">
        <v>104</v>
      </c>
      <c r="F56" s="36">
        <v>0</v>
      </c>
      <c r="G56" s="36">
        <f t="shared" si="1"/>
        <v>597</v>
      </c>
      <c r="H56" s="36">
        <f t="shared" si="2"/>
        <v>0</v>
      </c>
      <c r="I56" s="11">
        <f t="shared" si="3"/>
        <v>-22686000</v>
      </c>
      <c r="J56" s="53">
        <f t="shared" si="4"/>
        <v>0</v>
      </c>
      <c r="K56" s="53">
        <f t="shared" si="5"/>
        <v>-22686000</v>
      </c>
    </row>
    <row r="57" spans="1:11">
      <c r="A57" s="20" t="s">
        <v>101</v>
      </c>
      <c r="B57" s="18">
        <v>-105000</v>
      </c>
      <c r="C57" s="18">
        <v>0</v>
      </c>
      <c r="D57" s="3">
        <f t="shared" si="6"/>
        <v>-105000</v>
      </c>
      <c r="E57" s="20" t="s">
        <v>104</v>
      </c>
      <c r="F57" s="36">
        <v>0</v>
      </c>
      <c r="G57" s="36">
        <f t="shared" si="1"/>
        <v>597</v>
      </c>
      <c r="H57" s="36">
        <f t="shared" si="2"/>
        <v>0</v>
      </c>
      <c r="I57" s="11">
        <f t="shared" si="3"/>
        <v>-62685000</v>
      </c>
      <c r="J57" s="53">
        <f t="shared" si="4"/>
        <v>0</v>
      </c>
      <c r="K57" s="53">
        <f t="shared" si="5"/>
        <v>-62685000</v>
      </c>
    </row>
    <row r="58" spans="1:11">
      <c r="A58" s="20" t="s">
        <v>101</v>
      </c>
      <c r="B58" s="18">
        <v>-60000</v>
      </c>
      <c r="C58" s="18">
        <v>0</v>
      </c>
      <c r="D58" s="3">
        <f t="shared" si="6"/>
        <v>-60000</v>
      </c>
      <c r="E58" s="20" t="s">
        <v>104</v>
      </c>
      <c r="F58" s="36">
        <v>3</v>
      </c>
      <c r="G58" s="36">
        <f t="shared" si="1"/>
        <v>597</v>
      </c>
      <c r="H58" s="36">
        <f t="shared" si="2"/>
        <v>0</v>
      </c>
      <c r="I58" s="11">
        <f t="shared" si="3"/>
        <v>-35820000</v>
      </c>
      <c r="J58" s="53">
        <f t="shared" si="4"/>
        <v>0</v>
      </c>
      <c r="K58" s="53">
        <f t="shared" si="5"/>
        <v>-35820000</v>
      </c>
    </row>
    <row r="59" spans="1:11">
      <c r="A59" s="20" t="s">
        <v>105</v>
      </c>
      <c r="B59" s="18">
        <v>1000000</v>
      </c>
      <c r="C59" s="18">
        <v>1000000</v>
      </c>
      <c r="D59" s="3">
        <f t="shared" si="6"/>
        <v>0</v>
      </c>
      <c r="E59" s="20" t="s">
        <v>106</v>
      </c>
      <c r="F59" s="36">
        <v>1</v>
      </c>
      <c r="G59" s="36">
        <f t="shared" si="1"/>
        <v>594</v>
      </c>
      <c r="H59" s="36">
        <f t="shared" si="2"/>
        <v>1</v>
      </c>
      <c r="I59" s="11">
        <f t="shared" si="3"/>
        <v>593000000</v>
      </c>
      <c r="J59" s="53">
        <f t="shared" si="4"/>
        <v>593000000</v>
      </c>
      <c r="K59" s="53">
        <f t="shared" si="5"/>
        <v>0</v>
      </c>
    </row>
    <row r="60" spans="1:11">
      <c r="A60" s="20" t="s">
        <v>107</v>
      </c>
      <c r="B60" s="18">
        <v>3500000</v>
      </c>
      <c r="C60" s="18">
        <v>3500000</v>
      </c>
      <c r="D60" s="3">
        <f t="shared" si="6"/>
        <v>0</v>
      </c>
      <c r="E60" s="20" t="s">
        <v>106</v>
      </c>
      <c r="F60" s="36">
        <v>2</v>
      </c>
      <c r="G60" s="36">
        <f t="shared" si="1"/>
        <v>593</v>
      </c>
      <c r="H60" s="36">
        <f t="shared" si="2"/>
        <v>1</v>
      </c>
      <c r="I60" s="11">
        <f t="shared" si="3"/>
        <v>2072000000</v>
      </c>
      <c r="J60" s="53">
        <f t="shared" si="4"/>
        <v>2072000000</v>
      </c>
      <c r="K60" s="53">
        <f t="shared" si="5"/>
        <v>0</v>
      </c>
    </row>
    <row r="61" spans="1:11">
      <c r="A61" s="20" t="s">
        <v>111</v>
      </c>
      <c r="B61" s="18">
        <v>1000000</v>
      </c>
      <c r="C61" s="18">
        <v>1000000</v>
      </c>
      <c r="D61" s="3">
        <f t="shared" si="6"/>
        <v>0</v>
      </c>
      <c r="E61" s="20" t="s">
        <v>112</v>
      </c>
      <c r="F61" s="36">
        <v>0</v>
      </c>
      <c r="G61" s="36">
        <f t="shared" si="1"/>
        <v>591</v>
      </c>
      <c r="H61" s="36">
        <f t="shared" si="2"/>
        <v>1</v>
      </c>
      <c r="I61" s="11">
        <f t="shared" si="3"/>
        <v>590000000</v>
      </c>
      <c r="J61" s="53">
        <f t="shared" si="4"/>
        <v>590000000</v>
      </c>
      <c r="K61" s="53">
        <f t="shared" si="5"/>
        <v>0</v>
      </c>
    </row>
    <row r="62" spans="1:11">
      <c r="A62" s="20" t="s">
        <v>111</v>
      </c>
      <c r="B62" s="18">
        <v>3000000</v>
      </c>
      <c r="C62" s="18">
        <v>3000000</v>
      </c>
      <c r="D62" s="3">
        <f t="shared" si="6"/>
        <v>0</v>
      </c>
      <c r="E62" s="20" t="s">
        <v>112</v>
      </c>
      <c r="F62" s="36">
        <v>2</v>
      </c>
      <c r="G62" s="36">
        <f t="shared" si="1"/>
        <v>591</v>
      </c>
      <c r="H62" s="36">
        <f t="shared" si="2"/>
        <v>1</v>
      </c>
      <c r="I62" s="11">
        <f t="shared" si="3"/>
        <v>1770000000</v>
      </c>
      <c r="J62" s="53">
        <f t="shared" si="4"/>
        <v>1770000000</v>
      </c>
      <c r="K62" s="53">
        <f t="shared" si="5"/>
        <v>0</v>
      </c>
    </row>
    <row r="63" spans="1:11">
      <c r="A63" s="20" t="s">
        <v>108</v>
      </c>
      <c r="B63" s="18">
        <v>-200000</v>
      </c>
      <c r="C63" s="18">
        <v>0</v>
      </c>
      <c r="D63" s="3">
        <f t="shared" si="6"/>
        <v>-200000</v>
      </c>
      <c r="E63" s="20" t="s">
        <v>26</v>
      </c>
      <c r="F63" s="36">
        <v>5</v>
      </c>
      <c r="G63" s="36">
        <f t="shared" si="1"/>
        <v>589</v>
      </c>
      <c r="H63" s="36">
        <f t="shared" si="2"/>
        <v>0</v>
      </c>
      <c r="I63" s="11">
        <f t="shared" si="3"/>
        <v>-117800000</v>
      </c>
      <c r="J63" s="53">
        <f t="shared" si="4"/>
        <v>0</v>
      </c>
      <c r="K63" s="53">
        <f t="shared" si="5"/>
        <v>-117800000</v>
      </c>
    </row>
    <row r="64" spans="1:11">
      <c r="A64" s="19" t="s">
        <v>114</v>
      </c>
      <c r="B64" s="18">
        <v>-50000</v>
      </c>
      <c r="C64" s="18">
        <v>0</v>
      </c>
      <c r="D64" s="3">
        <f t="shared" si="6"/>
        <v>-50000</v>
      </c>
      <c r="E64" s="19" t="s">
        <v>115</v>
      </c>
      <c r="F64" s="36">
        <v>4</v>
      </c>
      <c r="G64" s="36">
        <f t="shared" si="1"/>
        <v>584</v>
      </c>
      <c r="H64" s="36">
        <f t="shared" si="2"/>
        <v>0</v>
      </c>
      <c r="I64" s="11">
        <f t="shared" si="3"/>
        <v>-29200000</v>
      </c>
      <c r="J64" s="53">
        <f t="shared" si="4"/>
        <v>0</v>
      </c>
      <c r="K64" s="53">
        <f t="shared" si="5"/>
        <v>-29200000</v>
      </c>
    </row>
    <row r="65" spans="1:11">
      <c r="A65" s="19" t="s">
        <v>117</v>
      </c>
      <c r="B65" s="18">
        <v>-200000</v>
      </c>
      <c r="C65" s="18">
        <v>0</v>
      </c>
      <c r="D65" s="3">
        <f t="shared" si="6"/>
        <v>-200000</v>
      </c>
      <c r="E65" s="19" t="s">
        <v>26</v>
      </c>
      <c r="F65" s="36">
        <v>3</v>
      </c>
      <c r="G65" s="36">
        <f t="shared" si="1"/>
        <v>580</v>
      </c>
      <c r="H65" s="36">
        <f t="shared" si="2"/>
        <v>0</v>
      </c>
      <c r="I65" s="11">
        <f t="shared" si="3"/>
        <v>-116000000</v>
      </c>
      <c r="J65" s="53">
        <f t="shared" si="4"/>
        <v>0</v>
      </c>
      <c r="K65" s="53">
        <f t="shared" si="5"/>
        <v>-116000000</v>
      </c>
    </row>
    <row r="66" spans="1:11">
      <c r="A66" s="19" t="s">
        <v>120</v>
      </c>
      <c r="B66" s="18">
        <v>-170000</v>
      </c>
      <c r="C66" s="18">
        <v>0</v>
      </c>
      <c r="D66" s="3">
        <f t="shared" si="6"/>
        <v>-170000</v>
      </c>
      <c r="E66" s="19" t="s">
        <v>121</v>
      </c>
      <c r="F66" s="36">
        <v>1</v>
      </c>
      <c r="G66" s="36">
        <f t="shared" si="1"/>
        <v>577</v>
      </c>
      <c r="H66" s="36">
        <f t="shared" si="2"/>
        <v>0</v>
      </c>
      <c r="I66" s="11">
        <f t="shared" si="3"/>
        <v>-98090000</v>
      </c>
      <c r="J66" s="53">
        <f t="shared" si="4"/>
        <v>0</v>
      </c>
      <c r="K66" s="53">
        <f t="shared" si="5"/>
        <v>-98090000</v>
      </c>
    </row>
    <row r="67" spans="1:11">
      <c r="A67" s="4" t="s">
        <v>123</v>
      </c>
      <c r="B67" s="1">
        <v>91325</v>
      </c>
      <c r="C67" s="1">
        <v>65723</v>
      </c>
      <c r="D67" s="3">
        <f t="shared" si="6"/>
        <v>25602</v>
      </c>
      <c r="E67" s="5" t="s">
        <v>124</v>
      </c>
      <c r="F67" s="36">
        <v>18</v>
      </c>
      <c r="G67" s="36">
        <f t="shared" ref="G67:G130" si="7">G68+F67</f>
        <v>576</v>
      </c>
      <c r="H67" s="36">
        <f t="shared" ref="H67:H131" si="8">IF(B67&gt;0,1,0)</f>
        <v>1</v>
      </c>
      <c r="I67" s="11">
        <f t="shared" ref="I67:I119" si="9">B67*(G67-H67)</f>
        <v>52511875</v>
      </c>
      <c r="J67" s="53">
        <f t="shared" ref="J67:J131" si="10">C67*(G67-H67)</f>
        <v>37790725</v>
      </c>
      <c r="K67" s="53">
        <f t="shared" ref="K67:K131" si="11">D67*(G67-H67)</f>
        <v>14721150</v>
      </c>
    </row>
    <row r="68" spans="1:11">
      <c r="A68" s="17" t="s">
        <v>126</v>
      </c>
      <c r="B68" s="18">
        <v>-145000</v>
      </c>
      <c r="C68" s="18">
        <v>0</v>
      </c>
      <c r="D68" s="3">
        <f t="shared" si="6"/>
        <v>-145000</v>
      </c>
      <c r="E68" s="19" t="s">
        <v>127</v>
      </c>
      <c r="F68" s="36">
        <v>7</v>
      </c>
      <c r="G68" s="36">
        <f t="shared" si="7"/>
        <v>558</v>
      </c>
      <c r="H68" s="36">
        <f t="shared" si="8"/>
        <v>0</v>
      </c>
      <c r="I68" s="11">
        <f t="shared" si="9"/>
        <v>-80910000</v>
      </c>
      <c r="J68" s="53">
        <f t="shared" si="10"/>
        <v>0</v>
      </c>
      <c r="K68" s="53">
        <f t="shared" si="11"/>
        <v>-80910000</v>
      </c>
    </row>
    <row r="69" spans="1:11">
      <c r="A69" s="20" t="s">
        <v>131</v>
      </c>
      <c r="B69" s="18">
        <v>980000</v>
      </c>
      <c r="C69" s="18">
        <v>0</v>
      </c>
      <c r="D69" s="3">
        <f t="shared" si="6"/>
        <v>980000</v>
      </c>
      <c r="E69" s="20" t="s">
        <v>132</v>
      </c>
      <c r="F69" s="36">
        <v>3</v>
      </c>
      <c r="G69" s="36">
        <f t="shared" si="7"/>
        <v>551</v>
      </c>
      <c r="H69" s="36">
        <f t="shared" si="8"/>
        <v>1</v>
      </c>
      <c r="I69" s="11">
        <f t="shared" si="9"/>
        <v>539000000</v>
      </c>
      <c r="J69" s="53">
        <f t="shared" si="10"/>
        <v>0</v>
      </c>
      <c r="K69" s="53">
        <f t="shared" si="11"/>
        <v>539000000</v>
      </c>
    </row>
    <row r="70" spans="1:11">
      <c r="A70" s="17" t="s">
        <v>133</v>
      </c>
      <c r="B70" s="18">
        <v>-46000</v>
      </c>
      <c r="C70" s="18">
        <v>0</v>
      </c>
      <c r="D70" s="3">
        <f t="shared" si="6"/>
        <v>-46000</v>
      </c>
      <c r="E70" s="19" t="s">
        <v>134</v>
      </c>
      <c r="F70" s="36">
        <v>2</v>
      </c>
      <c r="G70" s="36">
        <f t="shared" si="7"/>
        <v>548</v>
      </c>
      <c r="H70" s="36">
        <f t="shared" si="8"/>
        <v>0</v>
      </c>
      <c r="I70" s="11">
        <f t="shared" si="9"/>
        <v>-25208000</v>
      </c>
      <c r="J70" s="53">
        <f t="shared" si="10"/>
        <v>0</v>
      </c>
      <c r="K70" s="53">
        <f t="shared" si="11"/>
        <v>-25208000</v>
      </c>
    </row>
    <row r="71" spans="1:11">
      <c r="A71" s="4" t="s">
        <v>138</v>
      </c>
      <c r="B71" s="1">
        <v>115338</v>
      </c>
      <c r="C71" s="1">
        <v>103812</v>
      </c>
      <c r="D71" s="3">
        <f t="shared" si="6"/>
        <v>11526</v>
      </c>
      <c r="E71" s="5" t="s">
        <v>135</v>
      </c>
      <c r="F71" s="36">
        <v>1</v>
      </c>
      <c r="G71" s="36">
        <f t="shared" si="7"/>
        <v>546</v>
      </c>
      <c r="H71" s="36">
        <f t="shared" si="8"/>
        <v>1</v>
      </c>
      <c r="I71" s="11">
        <f t="shared" si="9"/>
        <v>62859210</v>
      </c>
      <c r="J71" s="53">
        <f t="shared" si="10"/>
        <v>56577540</v>
      </c>
      <c r="K71" s="53">
        <f t="shared" si="11"/>
        <v>6281670</v>
      </c>
    </row>
    <row r="72" spans="1:11">
      <c r="A72" s="17" t="s">
        <v>141</v>
      </c>
      <c r="B72" s="18">
        <v>-151969</v>
      </c>
      <c r="C72" s="18">
        <v>0</v>
      </c>
      <c r="D72" s="3">
        <f t="shared" si="6"/>
        <v>-151969</v>
      </c>
      <c r="E72" s="19" t="s">
        <v>140</v>
      </c>
      <c r="F72" s="36">
        <v>1</v>
      </c>
      <c r="G72" s="36">
        <f t="shared" si="7"/>
        <v>545</v>
      </c>
      <c r="H72" s="36">
        <f t="shared" si="8"/>
        <v>0</v>
      </c>
      <c r="I72" s="11">
        <f t="shared" si="9"/>
        <v>-82823105</v>
      </c>
      <c r="J72" s="53">
        <f t="shared" si="10"/>
        <v>0</v>
      </c>
      <c r="K72" s="53">
        <f t="shared" si="11"/>
        <v>-82823105</v>
      </c>
    </row>
    <row r="73" spans="1:11">
      <c r="A73" s="20" t="s">
        <v>139</v>
      </c>
      <c r="B73" s="18">
        <v>-805500</v>
      </c>
      <c r="C73" s="18">
        <v>0</v>
      </c>
      <c r="D73" s="3">
        <f t="shared" si="6"/>
        <v>-805500</v>
      </c>
      <c r="E73" s="20" t="s">
        <v>136</v>
      </c>
      <c r="F73" s="36">
        <v>7</v>
      </c>
      <c r="G73" s="36">
        <f t="shared" si="7"/>
        <v>544</v>
      </c>
      <c r="H73" s="36">
        <f t="shared" si="8"/>
        <v>0</v>
      </c>
      <c r="I73" s="11">
        <f t="shared" si="9"/>
        <v>-438192000</v>
      </c>
      <c r="J73" s="53">
        <f t="shared" si="10"/>
        <v>0</v>
      </c>
      <c r="K73" s="53">
        <f t="shared" si="11"/>
        <v>-438192000</v>
      </c>
    </row>
    <row r="74" spans="1:11">
      <c r="A74" s="17" t="s">
        <v>143</v>
      </c>
      <c r="B74" s="18">
        <v>6995000</v>
      </c>
      <c r="C74" s="18">
        <v>0</v>
      </c>
      <c r="D74" s="3">
        <f t="shared" si="6"/>
        <v>6995000</v>
      </c>
      <c r="E74" s="19" t="s">
        <v>144</v>
      </c>
      <c r="F74" s="36">
        <v>1</v>
      </c>
      <c r="G74" s="36">
        <f t="shared" si="7"/>
        <v>537</v>
      </c>
      <c r="H74" s="36">
        <f t="shared" si="8"/>
        <v>1</v>
      </c>
      <c r="I74" s="11">
        <f t="shared" si="9"/>
        <v>3749320000</v>
      </c>
      <c r="J74" s="53">
        <f t="shared" si="10"/>
        <v>0</v>
      </c>
      <c r="K74" s="53">
        <f t="shared" si="11"/>
        <v>3749320000</v>
      </c>
    </row>
    <row r="75" spans="1:11">
      <c r="A75" s="17" t="s">
        <v>146</v>
      </c>
      <c r="B75" s="18">
        <v>3000000</v>
      </c>
      <c r="C75" s="18">
        <v>0</v>
      </c>
      <c r="D75" s="3">
        <f t="shared" si="6"/>
        <v>3000000</v>
      </c>
      <c r="E75" s="19" t="s">
        <v>147</v>
      </c>
      <c r="F75" s="36">
        <v>2</v>
      </c>
      <c r="G75" s="36">
        <f t="shared" si="7"/>
        <v>536</v>
      </c>
      <c r="H75" s="36">
        <f t="shared" si="8"/>
        <v>1</v>
      </c>
      <c r="I75" s="11">
        <f t="shared" si="9"/>
        <v>1605000000</v>
      </c>
      <c r="J75" s="53">
        <f t="shared" si="10"/>
        <v>0</v>
      </c>
      <c r="K75" s="53">
        <f t="shared" si="11"/>
        <v>1605000000</v>
      </c>
    </row>
    <row r="76" spans="1:11">
      <c r="A76" s="17" t="s">
        <v>149</v>
      </c>
      <c r="B76" s="18">
        <v>3000000</v>
      </c>
      <c r="C76" s="18">
        <v>0</v>
      </c>
      <c r="D76" s="3">
        <f t="shared" si="6"/>
        <v>3000000</v>
      </c>
      <c r="E76" s="19" t="s">
        <v>147</v>
      </c>
      <c r="F76" s="36">
        <v>1</v>
      </c>
      <c r="G76" s="36">
        <f t="shared" si="7"/>
        <v>534</v>
      </c>
      <c r="H76" s="36">
        <f t="shared" si="8"/>
        <v>1</v>
      </c>
      <c r="I76" s="11">
        <f t="shared" si="9"/>
        <v>1599000000</v>
      </c>
      <c r="J76" s="53">
        <f t="shared" si="10"/>
        <v>0</v>
      </c>
      <c r="K76" s="53">
        <f t="shared" si="11"/>
        <v>1599000000</v>
      </c>
    </row>
    <row r="77" spans="1:11">
      <c r="A77" s="17" t="s">
        <v>151</v>
      </c>
      <c r="B77" s="18">
        <v>3000000</v>
      </c>
      <c r="C77" s="18">
        <v>0</v>
      </c>
      <c r="D77" s="3">
        <f t="shared" si="6"/>
        <v>3000000</v>
      </c>
      <c r="E77" s="21" t="s">
        <v>147</v>
      </c>
      <c r="F77" s="36">
        <v>1</v>
      </c>
      <c r="G77" s="36">
        <f t="shared" si="7"/>
        <v>533</v>
      </c>
      <c r="H77" s="36">
        <f t="shared" si="8"/>
        <v>1</v>
      </c>
      <c r="I77" s="11">
        <f t="shared" si="9"/>
        <v>1596000000</v>
      </c>
      <c r="J77" s="53">
        <f t="shared" si="10"/>
        <v>0</v>
      </c>
      <c r="K77" s="53">
        <f t="shared" si="11"/>
        <v>1596000000</v>
      </c>
    </row>
    <row r="78" spans="1:11">
      <c r="A78" s="17" t="s">
        <v>153</v>
      </c>
      <c r="B78" s="18">
        <v>-3200000</v>
      </c>
      <c r="C78" s="18">
        <v>-3200000</v>
      </c>
      <c r="D78" s="3">
        <f t="shared" si="6"/>
        <v>0</v>
      </c>
      <c r="E78" s="19" t="s">
        <v>154</v>
      </c>
      <c r="F78" s="36">
        <v>1</v>
      </c>
      <c r="G78" s="36">
        <f t="shared" si="7"/>
        <v>532</v>
      </c>
      <c r="H78" s="36">
        <f t="shared" si="8"/>
        <v>0</v>
      </c>
      <c r="I78" s="11">
        <f t="shared" si="9"/>
        <v>-1702400000</v>
      </c>
      <c r="J78" s="53">
        <f t="shared" si="10"/>
        <v>-1702400000</v>
      </c>
      <c r="K78" s="53">
        <f t="shared" si="11"/>
        <v>0</v>
      </c>
    </row>
    <row r="79" spans="1:11">
      <c r="A79" s="17" t="s">
        <v>155</v>
      </c>
      <c r="B79" s="18">
        <v>-800000</v>
      </c>
      <c r="C79" s="18">
        <v>-800000</v>
      </c>
      <c r="D79" s="3">
        <f t="shared" si="6"/>
        <v>0</v>
      </c>
      <c r="E79" s="19" t="s">
        <v>154</v>
      </c>
      <c r="F79" s="36">
        <v>1</v>
      </c>
      <c r="G79" s="36">
        <f t="shared" si="7"/>
        <v>531</v>
      </c>
      <c r="H79" s="36">
        <f t="shared" si="8"/>
        <v>0</v>
      </c>
      <c r="I79" s="11">
        <f t="shared" si="9"/>
        <v>-424800000</v>
      </c>
      <c r="J79" s="53">
        <f t="shared" si="10"/>
        <v>-424800000</v>
      </c>
      <c r="K79" s="53">
        <f t="shared" si="11"/>
        <v>0</v>
      </c>
    </row>
    <row r="80" spans="1:11">
      <c r="A80" s="20" t="s">
        <v>159</v>
      </c>
      <c r="B80" s="18">
        <v>-48393</v>
      </c>
      <c r="C80" s="18">
        <v>0</v>
      </c>
      <c r="D80" s="3">
        <f t="shared" si="6"/>
        <v>-48393</v>
      </c>
      <c r="E80" s="20" t="s">
        <v>160</v>
      </c>
      <c r="F80" s="36">
        <v>1</v>
      </c>
      <c r="G80" s="36">
        <f t="shared" si="7"/>
        <v>530</v>
      </c>
      <c r="H80" s="36">
        <f t="shared" si="8"/>
        <v>0</v>
      </c>
      <c r="I80" s="11">
        <f t="shared" si="9"/>
        <v>-25648290</v>
      </c>
      <c r="J80" s="53">
        <f t="shared" si="10"/>
        <v>0</v>
      </c>
      <c r="K80" s="53">
        <f t="shared" si="11"/>
        <v>-25648290</v>
      </c>
    </row>
    <row r="81" spans="1:11">
      <c r="A81" s="20" t="s">
        <v>157</v>
      </c>
      <c r="B81" s="18">
        <v>-140000</v>
      </c>
      <c r="C81" s="18">
        <v>0</v>
      </c>
      <c r="D81" s="3">
        <f t="shared" si="6"/>
        <v>-140000</v>
      </c>
      <c r="E81" s="20" t="s">
        <v>158</v>
      </c>
      <c r="F81" s="36">
        <v>1</v>
      </c>
      <c r="G81" s="36">
        <f t="shared" si="7"/>
        <v>529</v>
      </c>
      <c r="H81" s="36">
        <f t="shared" si="8"/>
        <v>0</v>
      </c>
      <c r="I81" s="11">
        <f t="shared" si="9"/>
        <v>-74060000</v>
      </c>
      <c r="J81" s="53">
        <f t="shared" si="10"/>
        <v>0</v>
      </c>
      <c r="K81" s="53">
        <f t="shared" si="11"/>
        <v>-74060000</v>
      </c>
    </row>
    <row r="82" spans="1:11">
      <c r="A82" s="20" t="s">
        <v>163</v>
      </c>
      <c r="B82" s="18">
        <v>-250000</v>
      </c>
      <c r="C82" s="18">
        <v>0</v>
      </c>
      <c r="D82" s="3">
        <f t="shared" si="6"/>
        <v>-250000</v>
      </c>
      <c r="E82" s="20" t="s">
        <v>164</v>
      </c>
      <c r="F82" s="36">
        <v>1</v>
      </c>
      <c r="G82" s="36">
        <f t="shared" si="7"/>
        <v>528</v>
      </c>
      <c r="H82" s="36">
        <f t="shared" si="8"/>
        <v>0</v>
      </c>
      <c r="I82" s="11">
        <f t="shared" si="9"/>
        <v>-132000000</v>
      </c>
      <c r="J82" s="53">
        <f t="shared" si="10"/>
        <v>0</v>
      </c>
      <c r="K82" s="53">
        <f t="shared" si="11"/>
        <v>-132000000</v>
      </c>
    </row>
    <row r="83" spans="1:11">
      <c r="A83" s="20" t="s">
        <v>162</v>
      </c>
      <c r="B83" s="18">
        <v>-200000</v>
      </c>
      <c r="C83" s="18">
        <v>0</v>
      </c>
      <c r="D83" s="3">
        <f t="shared" si="6"/>
        <v>-200000</v>
      </c>
      <c r="E83" s="20" t="s">
        <v>26</v>
      </c>
      <c r="F83" s="36">
        <v>3</v>
      </c>
      <c r="G83" s="36">
        <f t="shared" si="7"/>
        <v>527</v>
      </c>
      <c r="H83" s="36">
        <f t="shared" si="8"/>
        <v>0</v>
      </c>
      <c r="I83" s="11">
        <f t="shared" si="9"/>
        <v>-105400000</v>
      </c>
      <c r="J83" s="53">
        <f t="shared" si="10"/>
        <v>0</v>
      </c>
      <c r="K83" s="53">
        <f t="shared" si="11"/>
        <v>-105400000</v>
      </c>
    </row>
    <row r="84" spans="1:11">
      <c r="A84" s="20" t="s">
        <v>168</v>
      </c>
      <c r="B84" s="18">
        <v>1635200</v>
      </c>
      <c r="C84" s="18">
        <v>0</v>
      </c>
      <c r="D84" s="3">
        <f t="shared" si="6"/>
        <v>1635200</v>
      </c>
      <c r="E84" s="20" t="s">
        <v>169</v>
      </c>
      <c r="F84" s="36">
        <v>4</v>
      </c>
      <c r="G84" s="36">
        <f t="shared" si="7"/>
        <v>524</v>
      </c>
      <c r="H84" s="36">
        <f t="shared" si="8"/>
        <v>1</v>
      </c>
      <c r="I84" s="11">
        <f t="shared" si="9"/>
        <v>855209600</v>
      </c>
      <c r="J84" s="53">
        <f t="shared" si="10"/>
        <v>0</v>
      </c>
      <c r="K84" s="53">
        <f t="shared" si="11"/>
        <v>855209600</v>
      </c>
    </row>
    <row r="85" spans="1:11">
      <c r="A85" s="20" t="s">
        <v>172</v>
      </c>
      <c r="B85" s="18">
        <v>2500000</v>
      </c>
      <c r="C85" s="18">
        <v>0</v>
      </c>
      <c r="D85" s="3">
        <f t="shared" ref="D85:D148" si="12">B85-C85</f>
        <v>2500000</v>
      </c>
      <c r="E85" s="20" t="s">
        <v>173</v>
      </c>
      <c r="F85" s="36">
        <v>4</v>
      </c>
      <c r="G85" s="36">
        <f t="shared" si="7"/>
        <v>520</v>
      </c>
      <c r="H85" s="36">
        <f t="shared" si="8"/>
        <v>1</v>
      </c>
      <c r="I85" s="11">
        <f t="shared" si="9"/>
        <v>1297500000</v>
      </c>
      <c r="J85" s="53">
        <f t="shared" si="10"/>
        <v>0</v>
      </c>
      <c r="K85" s="53">
        <f t="shared" si="11"/>
        <v>1297500000</v>
      </c>
    </row>
    <row r="86" spans="1:11">
      <c r="A86" s="4" t="s">
        <v>175</v>
      </c>
      <c r="B86" s="1">
        <v>186300</v>
      </c>
      <c r="C86" s="1">
        <v>84950</v>
      </c>
      <c r="D86" s="3">
        <f t="shared" si="12"/>
        <v>101350</v>
      </c>
      <c r="E86" s="5" t="s">
        <v>176</v>
      </c>
      <c r="F86" s="36">
        <v>3</v>
      </c>
      <c r="G86" s="36">
        <f t="shared" si="7"/>
        <v>516</v>
      </c>
      <c r="H86" s="36">
        <f t="shared" si="8"/>
        <v>1</v>
      </c>
      <c r="I86" s="11">
        <f t="shared" si="9"/>
        <v>95944500</v>
      </c>
      <c r="J86" s="53">
        <f t="shared" si="10"/>
        <v>43749250</v>
      </c>
      <c r="K86" s="53">
        <f t="shared" si="11"/>
        <v>52195250</v>
      </c>
    </row>
    <row r="87" spans="1:11">
      <c r="A87" s="17" t="s">
        <v>192</v>
      </c>
      <c r="B87" s="18">
        <v>-200000</v>
      </c>
      <c r="C87" s="18">
        <v>0</v>
      </c>
      <c r="D87" s="3">
        <f t="shared" si="12"/>
        <v>-200000</v>
      </c>
      <c r="E87" s="19" t="s">
        <v>193</v>
      </c>
      <c r="F87" s="36">
        <v>1</v>
      </c>
      <c r="G87" s="36">
        <f t="shared" si="7"/>
        <v>513</v>
      </c>
      <c r="H87" s="36">
        <f t="shared" si="8"/>
        <v>0</v>
      </c>
      <c r="I87" s="11">
        <f t="shared" si="9"/>
        <v>-102600000</v>
      </c>
      <c r="J87" s="53">
        <f t="shared" si="10"/>
        <v>0</v>
      </c>
      <c r="K87" s="53">
        <f t="shared" si="11"/>
        <v>-102600000</v>
      </c>
    </row>
    <row r="88" spans="1:11">
      <c r="A88" s="20" t="s">
        <v>184</v>
      </c>
      <c r="B88" s="18">
        <v>-118000</v>
      </c>
      <c r="C88" s="18">
        <v>-69000</v>
      </c>
      <c r="D88" s="3">
        <f t="shared" si="12"/>
        <v>-49000</v>
      </c>
      <c r="E88" s="20" t="s">
        <v>194</v>
      </c>
      <c r="F88" s="36">
        <v>8</v>
      </c>
      <c r="G88" s="36">
        <f t="shared" si="7"/>
        <v>512</v>
      </c>
      <c r="H88" s="36">
        <f t="shared" si="8"/>
        <v>0</v>
      </c>
      <c r="I88" s="11">
        <f t="shared" si="9"/>
        <v>-60416000</v>
      </c>
      <c r="J88" s="53">
        <f t="shared" si="10"/>
        <v>-35328000</v>
      </c>
      <c r="K88" s="53">
        <f t="shared" si="11"/>
        <v>-25088000</v>
      </c>
    </row>
    <row r="89" spans="1:11">
      <c r="A89" s="17" t="s">
        <v>201</v>
      </c>
      <c r="B89" s="18">
        <v>-3200900</v>
      </c>
      <c r="C89" s="18">
        <v>0</v>
      </c>
      <c r="D89" s="3">
        <f t="shared" si="12"/>
        <v>-3200900</v>
      </c>
      <c r="E89" s="19" t="s">
        <v>202</v>
      </c>
      <c r="F89" s="36">
        <v>1</v>
      </c>
      <c r="G89" s="36">
        <f t="shared" si="7"/>
        <v>504</v>
      </c>
      <c r="H89" s="36">
        <f t="shared" si="8"/>
        <v>0</v>
      </c>
      <c r="I89" s="11">
        <f t="shared" si="9"/>
        <v>-1613253600</v>
      </c>
      <c r="J89" s="53">
        <f t="shared" si="10"/>
        <v>0</v>
      </c>
      <c r="K89" s="53">
        <f t="shared" si="11"/>
        <v>-1613253600</v>
      </c>
    </row>
    <row r="90" spans="1:11">
      <c r="A90" s="17" t="s">
        <v>207</v>
      </c>
      <c r="B90" s="18">
        <v>-3200900</v>
      </c>
      <c r="C90" s="18">
        <v>0</v>
      </c>
      <c r="D90" s="3">
        <f t="shared" si="12"/>
        <v>-3200900</v>
      </c>
      <c r="E90" s="19" t="s">
        <v>208</v>
      </c>
      <c r="F90" s="36">
        <v>1</v>
      </c>
      <c r="G90" s="36">
        <f t="shared" si="7"/>
        <v>503</v>
      </c>
      <c r="H90" s="36">
        <f t="shared" si="8"/>
        <v>0</v>
      </c>
      <c r="I90" s="11">
        <f t="shared" si="9"/>
        <v>-1610052700</v>
      </c>
      <c r="J90" s="53">
        <f t="shared" si="10"/>
        <v>0</v>
      </c>
      <c r="K90" s="53">
        <f t="shared" si="11"/>
        <v>-1610052700</v>
      </c>
    </row>
    <row r="91" spans="1:11">
      <c r="A91" s="17" t="s">
        <v>211</v>
      </c>
      <c r="B91" s="18">
        <v>-3200900</v>
      </c>
      <c r="C91" s="18">
        <v>0</v>
      </c>
      <c r="D91" s="3">
        <f t="shared" si="12"/>
        <v>-3200900</v>
      </c>
      <c r="E91" s="19" t="s">
        <v>212</v>
      </c>
      <c r="F91" s="36">
        <v>1</v>
      </c>
      <c r="G91" s="36">
        <f t="shared" si="7"/>
        <v>502</v>
      </c>
      <c r="H91" s="36">
        <f t="shared" si="8"/>
        <v>0</v>
      </c>
      <c r="I91" s="11">
        <f t="shared" si="9"/>
        <v>-1606851800</v>
      </c>
      <c r="J91" s="53">
        <f t="shared" si="10"/>
        <v>0</v>
      </c>
      <c r="K91" s="53">
        <f t="shared" si="11"/>
        <v>-1606851800</v>
      </c>
    </row>
    <row r="92" spans="1:11">
      <c r="A92" s="17" t="s">
        <v>216</v>
      </c>
      <c r="B92" s="18">
        <v>-3200900</v>
      </c>
      <c r="C92" s="18">
        <v>0</v>
      </c>
      <c r="D92" s="3">
        <f t="shared" si="12"/>
        <v>-3200900</v>
      </c>
      <c r="E92" s="21" t="s">
        <v>217</v>
      </c>
      <c r="F92" s="36">
        <v>1</v>
      </c>
      <c r="G92" s="36">
        <f t="shared" si="7"/>
        <v>501</v>
      </c>
      <c r="H92" s="36">
        <f t="shared" si="8"/>
        <v>0</v>
      </c>
      <c r="I92" s="11">
        <f t="shared" si="9"/>
        <v>-1603650900</v>
      </c>
      <c r="J92" s="53">
        <f t="shared" si="10"/>
        <v>0</v>
      </c>
      <c r="K92" s="53">
        <f t="shared" si="11"/>
        <v>-1603650900</v>
      </c>
    </row>
    <row r="93" spans="1:11">
      <c r="A93" s="17" t="s">
        <v>222</v>
      </c>
      <c r="B93" s="18">
        <v>-3200900</v>
      </c>
      <c r="C93" s="18">
        <v>0</v>
      </c>
      <c r="D93" s="3">
        <f t="shared" si="12"/>
        <v>-3200900</v>
      </c>
      <c r="E93" s="19" t="s">
        <v>223</v>
      </c>
      <c r="F93" s="36">
        <v>1</v>
      </c>
      <c r="G93" s="36">
        <f t="shared" si="7"/>
        <v>500</v>
      </c>
      <c r="H93" s="36">
        <f t="shared" si="8"/>
        <v>0</v>
      </c>
      <c r="I93" s="11">
        <f t="shared" si="9"/>
        <v>-1600450000</v>
      </c>
      <c r="J93" s="53">
        <f t="shared" si="10"/>
        <v>0</v>
      </c>
      <c r="K93" s="53">
        <f t="shared" si="11"/>
        <v>-1600450000</v>
      </c>
    </row>
    <row r="94" spans="1:11">
      <c r="A94" s="17" t="s">
        <v>225</v>
      </c>
      <c r="B94" s="18">
        <v>-3200900</v>
      </c>
      <c r="C94" s="18">
        <v>0</v>
      </c>
      <c r="D94" s="3">
        <f t="shared" si="12"/>
        <v>-3200900</v>
      </c>
      <c r="E94" s="19" t="s">
        <v>226</v>
      </c>
      <c r="F94" s="36">
        <v>2</v>
      </c>
      <c r="G94" s="36">
        <f t="shared" si="7"/>
        <v>499</v>
      </c>
      <c r="H94" s="36">
        <f t="shared" si="8"/>
        <v>0</v>
      </c>
      <c r="I94" s="11">
        <f t="shared" si="9"/>
        <v>-1597249100</v>
      </c>
      <c r="J94" s="53">
        <f t="shared" si="10"/>
        <v>0</v>
      </c>
      <c r="K94" s="53">
        <f t="shared" si="11"/>
        <v>-1597249100</v>
      </c>
    </row>
    <row r="95" spans="1:11">
      <c r="A95" s="20" t="s">
        <v>228</v>
      </c>
      <c r="B95" s="18">
        <v>-1196596</v>
      </c>
      <c r="C95" s="18">
        <v>0</v>
      </c>
      <c r="D95" s="3">
        <f t="shared" si="12"/>
        <v>-1196596</v>
      </c>
      <c r="E95" s="20" t="s">
        <v>229</v>
      </c>
      <c r="F95" s="36">
        <v>10</v>
      </c>
      <c r="G95" s="36">
        <f t="shared" si="7"/>
        <v>497</v>
      </c>
      <c r="H95" s="36">
        <f t="shared" si="8"/>
        <v>0</v>
      </c>
      <c r="I95" s="11">
        <f t="shared" si="9"/>
        <v>-594708212</v>
      </c>
      <c r="J95" s="53">
        <f t="shared" si="10"/>
        <v>0</v>
      </c>
      <c r="K95" s="53">
        <f t="shared" si="11"/>
        <v>-594708212</v>
      </c>
    </row>
    <row r="96" spans="1:11">
      <c r="A96" s="20" t="s">
        <v>237</v>
      </c>
      <c r="B96" s="18">
        <v>-200000</v>
      </c>
      <c r="C96" s="18">
        <v>0</v>
      </c>
      <c r="D96" s="3">
        <f t="shared" si="12"/>
        <v>-200000</v>
      </c>
      <c r="E96" s="20" t="s">
        <v>238</v>
      </c>
      <c r="F96" s="36">
        <v>1</v>
      </c>
      <c r="G96" s="36">
        <f t="shared" si="7"/>
        <v>487</v>
      </c>
      <c r="H96" s="36">
        <f t="shared" si="8"/>
        <v>0</v>
      </c>
      <c r="I96" s="11">
        <f t="shared" si="9"/>
        <v>-97400000</v>
      </c>
      <c r="J96" s="53">
        <f t="shared" si="10"/>
        <v>0</v>
      </c>
      <c r="K96" s="53">
        <f t="shared" si="11"/>
        <v>-97400000</v>
      </c>
    </row>
    <row r="97" spans="1:11">
      <c r="A97" s="20" t="s">
        <v>241</v>
      </c>
      <c r="B97" s="18">
        <v>159558</v>
      </c>
      <c r="C97" s="18">
        <v>68926</v>
      </c>
      <c r="D97" s="3">
        <f t="shared" si="12"/>
        <v>90632</v>
      </c>
      <c r="E97" s="23" t="s">
        <v>242</v>
      </c>
      <c r="F97" s="36">
        <v>5</v>
      </c>
      <c r="G97" s="36">
        <f t="shared" si="7"/>
        <v>486</v>
      </c>
      <c r="H97" s="36">
        <f t="shared" si="8"/>
        <v>1</v>
      </c>
      <c r="I97" s="11">
        <f t="shared" si="9"/>
        <v>77385630</v>
      </c>
      <c r="J97" s="53">
        <f t="shared" si="10"/>
        <v>33429110</v>
      </c>
      <c r="K97" s="53">
        <f t="shared" si="11"/>
        <v>43956520</v>
      </c>
    </row>
    <row r="98" spans="1:11">
      <c r="A98" s="20" t="s">
        <v>245</v>
      </c>
      <c r="B98" s="18">
        <v>114368</v>
      </c>
      <c r="C98" s="18">
        <v>0</v>
      </c>
      <c r="D98" s="3">
        <f t="shared" si="12"/>
        <v>114368</v>
      </c>
      <c r="E98" s="20" t="s">
        <v>246</v>
      </c>
      <c r="F98" s="36">
        <v>3</v>
      </c>
      <c r="G98" s="36">
        <f t="shared" si="7"/>
        <v>481</v>
      </c>
      <c r="H98" s="36">
        <f t="shared" si="8"/>
        <v>1</v>
      </c>
      <c r="I98" s="11">
        <f t="shared" si="9"/>
        <v>54896640</v>
      </c>
      <c r="J98" s="53">
        <f t="shared" si="10"/>
        <v>0</v>
      </c>
      <c r="K98" s="53">
        <f t="shared" si="11"/>
        <v>54896640</v>
      </c>
    </row>
    <row r="99" spans="1:11">
      <c r="A99" s="20" t="s">
        <v>248</v>
      </c>
      <c r="B99" s="18">
        <v>-1325000</v>
      </c>
      <c r="C99" s="18">
        <v>0</v>
      </c>
      <c r="D99" s="3">
        <f t="shared" si="12"/>
        <v>-1325000</v>
      </c>
      <c r="E99" s="20" t="s">
        <v>249</v>
      </c>
      <c r="F99" s="36">
        <v>5</v>
      </c>
      <c r="G99" s="36">
        <f t="shared" si="7"/>
        <v>478</v>
      </c>
      <c r="H99" s="36">
        <f t="shared" si="8"/>
        <v>0</v>
      </c>
      <c r="I99" s="11">
        <f t="shared" si="9"/>
        <v>-633350000</v>
      </c>
      <c r="J99" s="53">
        <f t="shared" si="10"/>
        <v>0</v>
      </c>
      <c r="K99" s="53">
        <f t="shared" si="11"/>
        <v>-633350000</v>
      </c>
    </row>
    <row r="100" spans="1:11">
      <c r="A100" s="17" t="s">
        <v>250</v>
      </c>
      <c r="B100" s="18">
        <v>1325000</v>
      </c>
      <c r="C100" s="18">
        <v>0</v>
      </c>
      <c r="D100" s="3">
        <f t="shared" si="12"/>
        <v>1325000</v>
      </c>
      <c r="E100" s="19" t="s">
        <v>251</v>
      </c>
      <c r="F100" s="36">
        <v>17</v>
      </c>
      <c r="G100" s="36">
        <f t="shared" si="7"/>
        <v>473</v>
      </c>
      <c r="H100" s="36">
        <f t="shared" si="8"/>
        <v>1</v>
      </c>
      <c r="I100" s="11">
        <f t="shared" si="9"/>
        <v>625400000</v>
      </c>
      <c r="J100" s="53">
        <f t="shared" si="10"/>
        <v>0</v>
      </c>
      <c r="K100" s="53">
        <f t="shared" si="11"/>
        <v>625400000</v>
      </c>
    </row>
    <row r="101" spans="1:11">
      <c r="A101" s="20" t="s">
        <v>262</v>
      </c>
      <c r="B101" s="18">
        <v>66845</v>
      </c>
      <c r="C101" s="18">
        <v>66845</v>
      </c>
      <c r="D101" s="3">
        <f t="shared" si="12"/>
        <v>0</v>
      </c>
      <c r="E101" s="23" t="s">
        <v>264</v>
      </c>
      <c r="F101" s="36">
        <v>3</v>
      </c>
      <c r="G101" s="36">
        <f t="shared" si="7"/>
        <v>456</v>
      </c>
      <c r="H101" s="36">
        <f t="shared" si="8"/>
        <v>1</v>
      </c>
      <c r="I101" s="11">
        <f t="shared" si="9"/>
        <v>30414475</v>
      </c>
      <c r="J101" s="53">
        <f t="shared" si="10"/>
        <v>30414475</v>
      </c>
      <c r="K101" s="53">
        <f t="shared" si="11"/>
        <v>0</v>
      </c>
    </row>
    <row r="102" spans="1:11">
      <c r="A102" s="20" t="s">
        <v>263</v>
      </c>
      <c r="B102" s="18">
        <v>3000000</v>
      </c>
      <c r="C102" s="18">
        <v>0</v>
      </c>
      <c r="D102" s="3">
        <f t="shared" si="12"/>
        <v>3000000</v>
      </c>
      <c r="E102" s="20" t="s">
        <v>251</v>
      </c>
      <c r="F102" s="36">
        <v>7</v>
      </c>
      <c r="G102" s="36">
        <f t="shared" si="7"/>
        <v>453</v>
      </c>
      <c r="H102" s="36">
        <f t="shared" si="8"/>
        <v>1</v>
      </c>
      <c r="I102" s="11">
        <f t="shared" si="9"/>
        <v>1356000000</v>
      </c>
      <c r="J102" s="53">
        <f t="shared" si="10"/>
        <v>0</v>
      </c>
      <c r="K102" s="53">
        <f t="shared" si="11"/>
        <v>1356000000</v>
      </c>
    </row>
    <row r="103" spans="1:11">
      <c r="A103" s="30">
        <v>35014</v>
      </c>
      <c r="B103" s="18">
        <v>-1000000</v>
      </c>
      <c r="C103" s="18">
        <v>-1000000</v>
      </c>
      <c r="D103" s="3">
        <f t="shared" si="12"/>
        <v>0</v>
      </c>
      <c r="E103" s="20" t="s">
        <v>413</v>
      </c>
      <c r="F103" s="36">
        <v>10</v>
      </c>
      <c r="G103" s="36">
        <f t="shared" si="7"/>
        <v>446</v>
      </c>
      <c r="H103" s="36">
        <f t="shared" si="8"/>
        <v>0</v>
      </c>
      <c r="I103" s="11">
        <f t="shared" si="9"/>
        <v>-446000000</v>
      </c>
      <c r="J103" s="53">
        <f t="shared" si="10"/>
        <v>-446000000</v>
      </c>
      <c r="K103" s="53">
        <f t="shared" si="11"/>
        <v>0</v>
      </c>
    </row>
    <row r="104" spans="1:11">
      <c r="A104" s="17" t="s">
        <v>414</v>
      </c>
      <c r="B104" s="18">
        <v>3000000</v>
      </c>
      <c r="C104" s="18">
        <v>3000000</v>
      </c>
      <c r="D104" s="3">
        <f t="shared" si="12"/>
        <v>0</v>
      </c>
      <c r="E104" s="19" t="s">
        <v>412</v>
      </c>
      <c r="F104" s="36">
        <v>1</v>
      </c>
      <c r="G104" s="36">
        <f t="shared" si="7"/>
        <v>436</v>
      </c>
      <c r="H104" s="36">
        <f t="shared" si="8"/>
        <v>1</v>
      </c>
      <c r="I104" s="11">
        <f t="shared" si="9"/>
        <v>1305000000</v>
      </c>
      <c r="J104" s="53">
        <f t="shared" si="10"/>
        <v>1305000000</v>
      </c>
      <c r="K104" s="53">
        <f t="shared" si="11"/>
        <v>0</v>
      </c>
    </row>
    <row r="105" spans="1:11">
      <c r="A105" s="17" t="s">
        <v>343</v>
      </c>
      <c r="B105" s="18">
        <v>1120000</v>
      </c>
      <c r="C105" s="18">
        <v>1120000</v>
      </c>
      <c r="D105" s="3">
        <f t="shared" si="12"/>
        <v>0</v>
      </c>
      <c r="E105" s="19" t="s">
        <v>412</v>
      </c>
      <c r="F105" s="36">
        <v>0</v>
      </c>
      <c r="G105" s="36">
        <f t="shared" si="7"/>
        <v>435</v>
      </c>
      <c r="H105" s="36">
        <f t="shared" si="8"/>
        <v>1</v>
      </c>
      <c r="I105" s="11">
        <f t="shared" si="9"/>
        <v>486080000</v>
      </c>
      <c r="J105" s="53">
        <f t="shared" si="10"/>
        <v>486080000</v>
      </c>
      <c r="K105" s="53">
        <f t="shared" si="11"/>
        <v>0</v>
      </c>
    </row>
    <row r="106" spans="1:11">
      <c r="A106" s="17" t="s">
        <v>343</v>
      </c>
      <c r="B106" s="18">
        <v>-3000000</v>
      </c>
      <c r="C106" s="18">
        <v>0</v>
      </c>
      <c r="D106" s="3">
        <f t="shared" si="12"/>
        <v>-3000000</v>
      </c>
      <c r="E106" s="19" t="s">
        <v>344</v>
      </c>
      <c r="F106" s="36">
        <v>9</v>
      </c>
      <c r="G106" s="36">
        <f t="shared" si="7"/>
        <v>435</v>
      </c>
      <c r="H106" s="36">
        <f t="shared" si="8"/>
        <v>0</v>
      </c>
      <c r="I106" s="11">
        <f t="shared" si="9"/>
        <v>-1305000000</v>
      </c>
      <c r="J106" s="53">
        <f t="shared" si="10"/>
        <v>0</v>
      </c>
      <c r="K106" s="53">
        <f t="shared" si="11"/>
        <v>-1305000000</v>
      </c>
    </row>
    <row r="107" spans="1:11">
      <c r="A107" s="20" t="s">
        <v>403</v>
      </c>
      <c r="B107" s="18">
        <v>90494</v>
      </c>
      <c r="C107" s="18">
        <v>75115</v>
      </c>
      <c r="D107" s="3">
        <f t="shared" si="12"/>
        <v>15379</v>
      </c>
      <c r="E107" s="23" t="s">
        <v>400</v>
      </c>
      <c r="F107" s="36">
        <v>2</v>
      </c>
      <c r="G107" s="36">
        <f t="shared" si="7"/>
        <v>426</v>
      </c>
      <c r="H107" s="36">
        <f t="shared" si="8"/>
        <v>1</v>
      </c>
      <c r="I107" s="11">
        <f t="shared" si="9"/>
        <v>38459950</v>
      </c>
      <c r="J107" s="53">
        <f t="shared" si="10"/>
        <v>31923875</v>
      </c>
      <c r="K107" s="53">
        <f t="shared" si="11"/>
        <v>6536075</v>
      </c>
    </row>
    <row r="108" spans="1:11">
      <c r="A108" s="20" t="s">
        <v>409</v>
      </c>
      <c r="B108" s="18">
        <v>-1700700</v>
      </c>
      <c r="C108" s="18">
        <v>0</v>
      </c>
      <c r="D108" s="3">
        <f t="shared" si="12"/>
        <v>-1700700</v>
      </c>
      <c r="E108" s="20" t="s">
        <v>415</v>
      </c>
      <c r="F108" s="36">
        <v>4</v>
      </c>
      <c r="G108" s="36">
        <f t="shared" si="7"/>
        <v>424</v>
      </c>
      <c r="H108" s="36">
        <f t="shared" si="8"/>
        <v>0</v>
      </c>
      <c r="I108" s="11">
        <f t="shared" si="9"/>
        <v>-721096800</v>
      </c>
      <c r="J108" s="53">
        <f t="shared" si="10"/>
        <v>0</v>
      </c>
      <c r="K108" s="53">
        <f t="shared" si="11"/>
        <v>-721096800</v>
      </c>
    </row>
    <row r="109" spans="1:11">
      <c r="A109" s="30" t="s">
        <v>427</v>
      </c>
      <c r="B109" s="18">
        <v>-1000500</v>
      </c>
      <c r="C109" s="18">
        <v>0</v>
      </c>
      <c r="D109" s="3">
        <f t="shared" si="12"/>
        <v>-1000500</v>
      </c>
      <c r="E109" s="20" t="s">
        <v>428</v>
      </c>
      <c r="F109" s="36">
        <v>3</v>
      </c>
      <c r="G109" s="36">
        <f t="shared" si="7"/>
        <v>420</v>
      </c>
      <c r="H109" s="36">
        <f t="shared" si="8"/>
        <v>0</v>
      </c>
      <c r="I109" s="11">
        <f t="shared" si="9"/>
        <v>-420210000</v>
      </c>
      <c r="J109" s="53">
        <f t="shared" si="10"/>
        <v>0</v>
      </c>
      <c r="K109" s="53">
        <f t="shared" si="11"/>
        <v>-420210000</v>
      </c>
    </row>
    <row r="110" spans="1:11">
      <c r="A110" s="17" t="s">
        <v>439</v>
      </c>
      <c r="B110" s="18">
        <v>20000000</v>
      </c>
      <c r="C110" s="18">
        <v>0</v>
      </c>
      <c r="D110" s="3">
        <f t="shared" si="12"/>
        <v>20000000</v>
      </c>
      <c r="E110" s="19" t="s">
        <v>440</v>
      </c>
      <c r="F110" s="36">
        <v>20</v>
      </c>
      <c r="G110" s="36">
        <f t="shared" si="7"/>
        <v>417</v>
      </c>
      <c r="H110" s="36">
        <f t="shared" si="8"/>
        <v>1</v>
      </c>
      <c r="I110" s="11">
        <f t="shared" si="9"/>
        <v>8320000000</v>
      </c>
      <c r="J110" s="53">
        <f t="shared" si="10"/>
        <v>0</v>
      </c>
      <c r="K110" s="53">
        <f t="shared" si="11"/>
        <v>8320000000</v>
      </c>
    </row>
    <row r="111" spans="1:11">
      <c r="A111" s="20" t="s">
        <v>490</v>
      </c>
      <c r="B111" s="39">
        <v>174678</v>
      </c>
      <c r="C111" s="39">
        <v>87363</v>
      </c>
      <c r="D111" s="35">
        <f t="shared" si="12"/>
        <v>87315</v>
      </c>
      <c r="E111" s="23" t="s">
        <v>473</v>
      </c>
      <c r="F111" s="36">
        <v>16</v>
      </c>
      <c r="G111" s="36">
        <f t="shared" si="7"/>
        <v>397</v>
      </c>
      <c r="H111" s="36">
        <f t="shared" si="8"/>
        <v>1</v>
      </c>
      <c r="I111" s="11">
        <f t="shared" si="9"/>
        <v>69172488</v>
      </c>
      <c r="J111" s="53">
        <f t="shared" si="10"/>
        <v>34595748</v>
      </c>
      <c r="K111" s="53">
        <f t="shared" si="11"/>
        <v>34576740</v>
      </c>
    </row>
    <row r="112" spans="1:11">
      <c r="A112" s="17" t="s">
        <v>495</v>
      </c>
      <c r="B112" s="18">
        <v>-28400000</v>
      </c>
      <c r="C112" s="18">
        <v>0</v>
      </c>
      <c r="D112" s="3">
        <f t="shared" si="12"/>
        <v>-28400000</v>
      </c>
      <c r="E112" s="20" t="s">
        <v>496</v>
      </c>
      <c r="F112" s="36">
        <v>15</v>
      </c>
      <c r="G112" s="36">
        <f t="shared" si="7"/>
        <v>381</v>
      </c>
      <c r="H112" s="36">
        <f t="shared" si="8"/>
        <v>0</v>
      </c>
      <c r="I112" s="11">
        <f t="shared" si="9"/>
        <v>-10820400000</v>
      </c>
      <c r="J112" s="53">
        <f t="shared" si="10"/>
        <v>0</v>
      </c>
      <c r="K112" s="53">
        <f t="shared" si="11"/>
        <v>-10820400000</v>
      </c>
    </row>
    <row r="113" spans="1:15">
      <c r="A113" s="17" t="s">
        <v>509</v>
      </c>
      <c r="B113" s="39">
        <v>163040</v>
      </c>
      <c r="C113" s="39">
        <v>122511</v>
      </c>
      <c r="D113" s="35">
        <f t="shared" si="12"/>
        <v>40529</v>
      </c>
      <c r="E113" s="5" t="s">
        <v>510</v>
      </c>
      <c r="F113" s="36">
        <v>0</v>
      </c>
      <c r="G113" s="36">
        <f t="shared" si="7"/>
        <v>366</v>
      </c>
      <c r="H113" s="36">
        <f t="shared" si="8"/>
        <v>1</v>
      </c>
      <c r="I113" s="11">
        <f t="shared" si="9"/>
        <v>59509600</v>
      </c>
      <c r="J113" s="53">
        <f t="shared" si="10"/>
        <v>44716515</v>
      </c>
      <c r="K113" s="53">
        <f t="shared" si="11"/>
        <v>14793085</v>
      </c>
    </row>
    <row r="114" spans="1:15">
      <c r="A114" s="17" t="s">
        <v>509</v>
      </c>
      <c r="B114" s="18">
        <v>-5700</v>
      </c>
      <c r="C114" s="18">
        <v>-2500</v>
      </c>
      <c r="D114" s="3">
        <f t="shared" si="12"/>
        <v>-3200</v>
      </c>
      <c r="E114" s="19" t="s">
        <v>512</v>
      </c>
      <c r="F114" s="36">
        <v>13</v>
      </c>
      <c r="G114" s="36">
        <f t="shared" si="7"/>
        <v>366</v>
      </c>
      <c r="H114" s="36">
        <f t="shared" si="8"/>
        <v>0</v>
      </c>
      <c r="I114" s="11">
        <f t="shared" si="9"/>
        <v>-2086200</v>
      </c>
      <c r="J114" s="53">
        <f t="shared" si="10"/>
        <v>-915000</v>
      </c>
      <c r="K114" s="53">
        <f t="shared" si="11"/>
        <v>-1171200</v>
      </c>
    </row>
    <row r="115" spans="1:15">
      <c r="A115" s="17" t="s">
        <v>526</v>
      </c>
      <c r="B115" s="18">
        <v>0</v>
      </c>
      <c r="C115" s="18">
        <v>500000</v>
      </c>
      <c r="D115" s="3">
        <f t="shared" si="12"/>
        <v>-500000</v>
      </c>
      <c r="E115" s="19" t="s">
        <v>527</v>
      </c>
      <c r="F115" s="36">
        <v>8</v>
      </c>
      <c r="G115" s="36">
        <f t="shared" si="7"/>
        <v>353</v>
      </c>
      <c r="H115" s="36">
        <f t="shared" si="8"/>
        <v>0</v>
      </c>
      <c r="I115" s="11">
        <f t="shared" si="9"/>
        <v>0</v>
      </c>
      <c r="J115" s="53">
        <f t="shared" si="10"/>
        <v>176500000</v>
      </c>
      <c r="K115" s="53">
        <f t="shared" si="11"/>
        <v>-176500000</v>
      </c>
    </row>
    <row r="116" spans="1:15">
      <c r="A116" s="11" t="s">
        <v>532</v>
      </c>
      <c r="B116" s="18">
        <v>-160000</v>
      </c>
      <c r="C116" s="18">
        <v>0</v>
      </c>
      <c r="D116" s="18">
        <f t="shared" si="12"/>
        <v>-160000</v>
      </c>
      <c r="E116" s="11" t="s">
        <v>533</v>
      </c>
      <c r="F116" s="36">
        <v>9</v>
      </c>
      <c r="G116" s="36">
        <f t="shared" si="7"/>
        <v>345</v>
      </c>
      <c r="H116" s="36">
        <f t="shared" si="8"/>
        <v>0</v>
      </c>
      <c r="I116" s="11">
        <f t="shared" si="9"/>
        <v>-55200000</v>
      </c>
      <c r="J116" s="53">
        <f t="shared" si="10"/>
        <v>0</v>
      </c>
      <c r="K116" s="53">
        <f t="shared" si="11"/>
        <v>-55200000</v>
      </c>
    </row>
    <row r="117" spans="1:15">
      <c r="A117" s="11" t="s">
        <v>550</v>
      </c>
      <c r="B117" s="39">
        <v>1480</v>
      </c>
      <c r="C117" s="39">
        <v>106941</v>
      </c>
      <c r="D117" s="39">
        <f t="shared" si="12"/>
        <v>-105461</v>
      </c>
      <c r="E117" s="23" t="s">
        <v>551</v>
      </c>
      <c r="F117" s="36">
        <v>22</v>
      </c>
      <c r="G117" s="36">
        <f t="shared" si="7"/>
        <v>336</v>
      </c>
      <c r="H117" s="36">
        <f t="shared" si="8"/>
        <v>1</v>
      </c>
      <c r="I117" s="11">
        <f t="shared" si="9"/>
        <v>495800</v>
      </c>
      <c r="J117" s="53">
        <f t="shared" si="10"/>
        <v>35825235</v>
      </c>
      <c r="K117" s="53">
        <f t="shared" si="11"/>
        <v>-35329435</v>
      </c>
      <c r="N117" s="3"/>
    </row>
    <row r="118" spans="1:15">
      <c r="A118" s="11" t="s">
        <v>578</v>
      </c>
      <c r="B118" s="18">
        <v>39399500</v>
      </c>
      <c r="C118" s="18">
        <v>0</v>
      </c>
      <c r="D118" s="18">
        <f t="shared" si="12"/>
        <v>39399500</v>
      </c>
      <c r="E118" s="11" t="s">
        <v>580</v>
      </c>
      <c r="F118" s="36">
        <v>9</v>
      </c>
      <c r="G118" s="36">
        <f t="shared" si="7"/>
        <v>314</v>
      </c>
      <c r="H118" s="36">
        <f t="shared" si="8"/>
        <v>1</v>
      </c>
      <c r="I118" s="11">
        <f t="shared" si="9"/>
        <v>12332043500</v>
      </c>
      <c r="J118" s="53">
        <f t="shared" si="10"/>
        <v>0</v>
      </c>
      <c r="K118" s="53">
        <f t="shared" si="11"/>
        <v>12332043500</v>
      </c>
      <c r="O118" s="7"/>
    </row>
    <row r="119" spans="1:15">
      <c r="A119" s="11" t="s">
        <v>584</v>
      </c>
      <c r="B119" s="39">
        <v>95521</v>
      </c>
      <c r="C119" s="39">
        <v>110054</v>
      </c>
      <c r="D119" s="39">
        <f t="shared" si="12"/>
        <v>-14533</v>
      </c>
      <c r="E119" s="23" t="s">
        <v>589</v>
      </c>
      <c r="F119" s="36">
        <v>4</v>
      </c>
      <c r="G119" s="36">
        <f t="shared" si="7"/>
        <v>305</v>
      </c>
      <c r="H119" s="36">
        <f t="shared" si="8"/>
        <v>1</v>
      </c>
      <c r="I119" s="11">
        <f t="shared" si="9"/>
        <v>29038384</v>
      </c>
      <c r="J119" s="53">
        <f t="shared" si="10"/>
        <v>33456416</v>
      </c>
      <c r="K119" s="53">
        <f t="shared" si="11"/>
        <v>-4418032</v>
      </c>
    </row>
    <row r="120" spans="1:15">
      <c r="A120" s="11" t="s">
        <v>595</v>
      </c>
      <c r="B120" s="18">
        <v>2000000</v>
      </c>
      <c r="C120" s="18">
        <v>0</v>
      </c>
      <c r="D120" s="18">
        <f t="shared" si="12"/>
        <v>2000000</v>
      </c>
      <c r="E120" s="11" t="s">
        <v>596</v>
      </c>
      <c r="F120" s="11">
        <v>26</v>
      </c>
      <c r="G120" s="36">
        <f t="shared" si="7"/>
        <v>301</v>
      </c>
      <c r="H120" s="11">
        <f t="shared" si="8"/>
        <v>1</v>
      </c>
      <c r="I120" s="11">
        <f t="shared" ref="I120:I176" si="13">B120*(G120-H120)</f>
        <v>600000000</v>
      </c>
      <c r="J120" s="11">
        <f t="shared" si="10"/>
        <v>0</v>
      </c>
      <c r="K120" s="11">
        <f t="shared" si="11"/>
        <v>600000000</v>
      </c>
      <c r="N120" s="7"/>
    </row>
    <row r="121" spans="1:15">
      <c r="A121" s="11" t="s">
        <v>623</v>
      </c>
      <c r="B121" s="18">
        <v>2600000</v>
      </c>
      <c r="C121" s="18">
        <v>0</v>
      </c>
      <c r="D121" s="18">
        <f t="shared" si="12"/>
        <v>2600000</v>
      </c>
      <c r="E121" s="11" t="s">
        <v>624</v>
      </c>
      <c r="F121" s="11">
        <v>1</v>
      </c>
      <c r="G121" s="36">
        <f t="shared" si="7"/>
        <v>275</v>
      </c>
      <c r="H121" s="11">
        <f t="shared" si="8"/>
        <v>1</v>
      </c>
      <c r="I121" s="11">
        <f t="shared" si="13"/>
        <v>712400000</v>
      </c>
      <c r="J121" s="11">
        <f t="shared" si="10"/>
        <v>0</v>
      </c>
      <c r="K121" s="11">
        <f t="shared" si="11"/>
        <v>712400000</v>
      </c>
    </row>
    <row r="122" spans="1:15">
      <c r="A122" s="11" t="s">
        <v>627</v>
      </c>
      <c r="B122" s="39">
        <v>384551</v>
      </c>
      <c r="C122" s="39">
        <v>110908</v>
      </c>
      <c r="D122" s="39">
        <f t="shared" si="12"/>
        <v>273643</v>
      </c>
      <c r="E122" s="23" t="s">
        <v>628</v>
      </c>
      <c r="F122" s="11">
        <v>1</v>
      </c>
      <c r="G122" s="36">
        <f t="shared" si="7"/>
        <v>274</v>
      </c>
      <c r="H122" s="11">
        <f t="shared" si="8"/>
        <v>1</v>
      </c>
      <c r="I122" s="11">
        <f t="shared" si="13"/>
        <v>104982423</v>
      </c>
      <c r="J122" s="11">
        <f t="shared" si="10"/>
        <v>30277884</v>
      </c>
      <c r="K122" s="11">
        <f t="shared" si="11"/>
        <v>74704539</v>
      </c>
      <c r="N122" t="s">
        <v>25</v>
      </c>
    </row>
    <row r="123" spans="1:15">
      <c r="A123" s="11" t="s">
        <v>636</v>
      </c>
      <c r="B123" s="18">
        <v>0</v>
      </c>
      <c r="C123" s="18">
        <v>800000</v>
      </c>
      <c r="D123" s="18">
        <f t="shared" si="12"/>
        <v>-800000</v>
      </c>
      <c r="E123" s="11" t="s">
        <v>637</v>
      </c>
      <c r="F123" s="11">
        <v>14</v>
      </c>
      <c r="G123" s="36">
        <f t="shared" si="7"/>
        <v>273</v>
      </c>
      <c r="H123" s="11">
        <f t="shared" si="8"/>
        <v>0</v>
      </c>
      <c r="I123" s="11">
        <f t="shared" si="13"/>
        <v>0</v>
      </c>
      <c r="J123" s="11">
        <f t="shared" si="10"/>
        <v>218400000</v>
      </c>
      <c r="K123" s="11">
        <f t="shared" si="11"/>
        <v>-218400000</v>
      </c>
    </row>
    <row r="124" spans="1:15">
      <c r="A124" s="11" t="s">
        <v>654</v>
      </c>
      <c r="B124" s="18">
        <v>-3000000</v>
      </c>
      <c r="C124" s="18">
        <v>0</v>
      </c>
      <c r="D124" s="18">
        <f t="shared" si="12"/>
        <v>-3000000</v>
      </c>
      <c r="E124" s="11" t="s">
        <v>656</v>
      </c>
      <c r="F124" s="11">
        <v>15</v>
      </c>
      <c r="G124" s="36">
        <f t="shared" si="7"/>
        <v>259</v>
      </c>
      <c r="H124" s="11">
        <f t="shared" si="8"/>
        <v>0</v>
      </c>
      <c r="I124" s="11">
        <f t="shared" si="13"/>
        <v>-777000000</v>
      </c>
      <c r="J124" s="11">
        <f t="shared" si="10"/>
        <v>0</v>
      </c>
      <c r="K124" s="11">
        <f t="shared" si="11"/>
        <v>-777000000</v>
      </c>
    </row>
    <row r="125" spans="1:15">
      <c r="A125" s="11" t="s">
        <v>630</v>
      </c>
      <c r="B125" s="18">
        <v>400710</v>
      </c>
      <c r="C125" s="18">
        <v>118875</v>
      </c>
      <c r="D125" s="18">
        <f t="shared" si="12"/>
        <v>281835</v>
      </c>
      <c r="E125" s="11" t="s">
        <v>669</v>
      </c>
      <c r="F125" s="11">
        <v>0</v>
      </c>
      <c r="G125" s="36">
        <f t="shared" si="7"/>
        <v>244</v>
      </c>
      <c r="H125" s="11">
        <f t="shared" si="8"/>
        <v>1</v>
      </c>
      <c r="I125" s="11">
        <f t="shared" si="13"/>
        <v>97372530</v>
      </c>
      <c r="J125" s="11">
        <f t="shared" si="10"/>
        <v>28886625</v>
      </c>
      <c r="K125" s="11">
        <f t="shared" si="11"/>
        <v>68485905</v>
      </c>
    </row>
    <row r="126" spans="1:15">
      <c r="A126" s="11" t="s">
        <v>630</v>
      </c>
      <c r="B126" s="18">
        <v>42000000</v>
      </c>
      <c r="C126" s="18">
        <v>0</v>
      </c>
      <c r="D126" s="18">
        <f t="shared" si="12"/>
        <v>42000000</v>
      </c>
      <c r="E126" s="11" t="s">
        <v>497</v>
      </c>
      <c r="F126" s="11">
        <v>25</v>
      </c>
      <c r="G126" s="36">
        <f t="shared" si="7"/>
        <v>244</v>
      </c>
      <c r="H126" s="11">
        <f t="shared" si="8"/>
        <v>1</v>
      </c>
      <c r="I126" s="11">
        <f t="shared" si="13"/>
        <v>10206000000</v>
      </c>
      <c r="J126" s="11">
        <f t="shared" si="10"/>
        <v>0</v>
      </c>
      <c r="K126" s="11">
        <f t="shared" si="11"/>
        <v>10206000000</v>
      </c>
    </row>
    <row r="127" spans="1:15">
      <c r="A127" s="11" t="s">
        <v>694</v>
      </c>
      <c r="B127" s="18">
        <v>-5000</v>
      </c>
      <c r="C127" s="18">
        <v>0</v>
      </c>
      <c r="D127" s="18">
        <f t="shared" si="12"/>
        <v>-5000</v>
      </c>
      <c r="E127" s="11" t="s">
        <v>26</v>
      </c>
      <c r="F127" s="11">
        <v>6</v>
      </c>
      <c r="G127" s="36">
        <f t="shared" si="7"/>
        <v>219</v>
      </c>
      <c r="H127" s="11">
        <f t="shared" si="8"/>
        <v>0</v>
      </c>
      <c r="I127" s="11">
        <f t="shared" si="13"/>
        <v>-1095000</v>
      </c>
      <c r="J127" s="11">
        <f t="shared" si="10"/>
        <v>0</v>
      </c>
      <c r="K127" s="11">
        <f t="shared" si="11"/>
        <v>-1095000</v>
      </c>
    </row>
    <row r="128" spans="1:15">
      <c r="A128" s="11" t="s">
        <v>631</v>
      </c>
      <c r="B128" s="18">
        <v>771374</v>
      </c>
      <c r="C128" s="18">
        <v>120697</v>
      </c>
      <c r="D128" s="18">
        <f t="shared" si="12"/>
        <v>650677</v>
      </c>
      <c r="E128" s="11" t="s">
        <v>696</v>
      </c>
      <c r="F128" s="11">
        <v>3</v>
      </c>
      <c r="G128" s="36">
        <f t="shared" si="7"/>
        <v>213</v>
      </c>
      <c r="H128" s="11">
        <f t="shared" si="8"/>
        <v>1</v>
      </c>
      <c r="I128" s="11">
        <f t="shared" si="13"/>
        <v>163531288</v>
      </c>
      <c r="J128" s="11">
        <f t="shared" si="10"/>
        <v>25587764</v>
      </c>
      <c r="K128" s="11">
        <f t="shared" si="11"/>
        <v>137943524</v>
      </c>
    </row>
    <row r="129" spans="1:13">
      <c r="A129" s="11" t="s">
        <v>706</v>
      </c>
      <c r="B129" s="18">
        <v>2500000</v>
      </c>
      <c r="C129" s="18">
        <v>0</v>
      </c>
      <c r="D129" s="18">
        <f t="shared" si="12"/>
        <v>2500000</v>
      </c>
      <c r="E129" s="11" t="s">
        <v>707</v>
      </c>
      <c r="F129" s="11">
        <v>14</v>
      </c>
      <c r="G129" s="36">
        <f t="shared" si="7"/>
        <v>210</v>
      </c>
      <c r="H129" s="11">
        <f t="shared" si="8"/>
        <v>1</v>
      </c>
      <c r="I129" s="11">
        <f t="shared" si="13"/>
        <v>522500000</v>
      </c>
      <c r="J129" s="11">
        <f t="shared" si="10"/>
        <v>0</v>
      </c>
      <c r="K129" s="11">
        <f t="shared" si="11"/>
        <v>522500000</v>
      </c>
    </row>
    <row r="130" spans="1:13">
      <c r="A130" s="11" t="s">
        <v>720</v>
      </c>
      <c r="B130" s="18">
        <v>-1000000</v>
      </c>
      <c r="C130" s="18">
        <v>-1000000</v>
      </c>
      <c r="D130" s="18">
        <f t="shared" si="12"/>
        <v>0</v>
      </c>
      <c r="E130" s="11" t="s">
        <v>740</v>
      </c>
      <c r="F130" s="11">
        <v>5</v>
      </c>
      <c r="G130" s="36">
        <f t="shared" si="7"/>
        <v>196</v>
      </c>
      <c r="H130" s="11">
        <f t="shared" si="8"/>
        <v>0</v>
      </c>
      <c r="I130" s="11">
        <f t="shared" si="13"/>
        <v>-196000000</v>
      </c>
      <c r="J130" s="11">
        <f t="shared" si="10"/>
        <v>-196000000</v>
      </c>
      <c r="K130" s="11">
        <f t="shared" si="11"/>
        <v>0</v>
      </c>
    </row>
    <row r="131" spans="1:13">
      <c r="A131" s="11" t="s">
        <v>723</v>
      </c>
      <c r="B131" s="18">
        <v>-50000000</v>
      </c>
      <c r="C131" s="18">
        <v>0</v>
      </c>
      <c r="D131" s="18">
        <f t="shared" si="12"/>
        <v>-50000000</v>
      </c>
      <c r="E131" s="11" t="s">
        <v>724</v>
      </c>
      <c r="F131" s="11">
        <v>8</v>
      </c>
      <c r="G131" s="36">
        <f t="shared" ref="G131:G176" si="14">G132+F131</f>
        <v>191</v>
      </c>
      <c r="H131" s="11">
        <f t="shared" si="8"/>
        <v>0</v>
      </c>
      <c r="I131" s="11">
        <f t="shared" si="13"/>
        <v>-9550000000</v>
      </c>
      <c r="J131" s="11">
        <f t="shared" si="10"/>
        <v>0</v>
      </c>
      <c r="K131" s="11">
        <f t="shared" si="11"/>
        <v>-9550000000</v>
      </c>
    </row>
    <row r="132" spans="1:13">
      <c r="A132" s="11" t="s">
        <v>632</v>
      </c>
      <c r="B132" s="18">
        <v>614287</v>
      </c>
      <c r="C132" s="18">
        <v>105971</v>
      </c>
      <c r="D132" s="18">
        <f t="shared" si="12"/>
        <v>508316</v>
      </c>
      <c r="E132" s="11" t="s">
        <v>135</v>
      </c>
      <c r="F132" s="11">
        <v>4</v>
      </c>
      <c r="G132" s="36">
        <f t="shared" si="14"/>
        <v>183</v>
      </c>
      <c r="H132" s="11">
        <f t="shared" ref="H132:H176" si="15">IF(B132&gt;0,1,0)</f>
        <v>1</v>
      </c>
      <c r="I132" s="11">
        <f t="shared" si="13"/>
        <v>111800234</v>
      </c>
      <c r="J132" s="11">
        <f t="shared" ref="J132:J176" si="16">C132*(G132-H132)</f>
        <v>19286722</v>
      </c>
      <c r="K132" s="11">
        <f t="shared" ref="K132:K176" si="17">D132*(G132-H132)</f>
        <v>92513512</v>
      </c>
    </row>
    <row r="133" spans="1:13">
      <c r="A133" s="11" t="s">
        <v>748</v>
      </c>
      <c r="B133" s="18">
        <v>-1210700</v>
      </c>
      <c r="C133" s="18">
        <v>0</v>
      </c>
      <c r="D133" s="18">
        <f t="shared" si="12"/>
        <v>-1210700</v>
      </c>
      <c r="E133" s="11" t="s">
        <v>749</v>
      </c>
      <c r="F133" s="11">
        <v>9</v>
      </c>
      <c r="G133" s="36">
        <f t="shared" si="14"/>
        <v>179</v>
      </c>
      <c r="H133" s="11">
        <f t="shared" si="15"/>
        <v>0</v>
      </c>
      <c r="I133" s="11">
        <f t="shared" si="13"/>
        <v>-216715300</v>
      </c>
      <c r="J133" s="11">
        <f t="shared" si="16"/>
        <v>0</v>
      </c>
      <c r="K133" s="11">
        <f t="shared" si="17"/>
        <v>-216715300</v>
      </c>
    </row>
    <row r="134" spans="1:13">
      <c r="A134" s="11" t="s">
        <v>762</v>
      </c>
      <c r="B134" s="18">
        <v>-65000</v>
      </c>
      <c r="C134" s="18">
        <v>0</v>
      </c>
      <c r="D134" s="18">
        <f t="shared" si="12"/>
        <v>-65000</v>
      </c>
      <c r="E134" s="11" t="s">
        <v>765</v>
      </c>
      <c r="F134" s="11">
        <v>0</v>
      </c>
      <c r="G134" s="36">
        <f t="shared" si="14"/>
        <v>170</v>
      </c>
      <c r="H134" s="11">
        <f t="shared" si="15"/>
        <v>0</v>
      </c>
      <c r="I134" s="11">
        <f t="shared" si="13"/>
        <v>-11050000</v>
      </c>
      <c r="J134" s="11">
        <f t="shared" si="16"/>
        <v>0</v>
      </c>
      <c r="K134" s="11">
        <f t="shared" si="17"/>
        <v>-11050000</v>
      </c>
    </row>
    <row r="135" spans="1:13">
      <c r="A135" s="11" t="s">
        <v>762</v>
      </c>
      <c r="B135" s="18">
        <v>-32300</v>
      </c>
      <c r="C135" s="18">
        <v>0</v>
      </c>
      <c r="D135" s="18">
        <f t="shared" si="12"/>
        <v>-32300</v>
      </c>
      <c r="E135" s="11" t="s">
        <v>766</v>
      </c>
      <c r="F135" s="11">
        <v>8</v>
      </c>
      <c r="G135" s="36">
        <f t="shared" si="14"/>
        <v>170</v>
      </c>
      <c r="H135" s="11">
        <f t="shared" si="15"/>
        <v>0</v>
      </c>
      <c r="I135" s="11">
        <f t="shared" si="13"/>
        <v>-5491000</v>
      </c>
      <c r="J135" s="11">
        <f t="shared" si="16"/>
        <v>0</v>
      </c>
      <c r="K135" s="11">
        <f t="shared" si="17"/>
        <v>-5491000</v>
      </c>
    </row>
    <row r="136" spans="1:13">
      <c r="A136" s="11" t="s">
        <v>773</v>
      </c>
      <c r="B136" s="18">
        <v>-1000000</v>
      </c>
      <c r="C136" s="18">
        <v>-1000000</v>
      </c>
      <c r="D136" s="18">
        <f t="shared" si="12"/>
        <v>0</v>
      </c>
      <c r="E136" s="11" t="s">
        <v>774</v>
      </c>
      <c r="F136" s="11">
        <v>9</v>
      </c>
      <c r="G136" s="36">
        <f t="shared" si="14"/>
        <v>162</v>
      </c>
      <c r="H136" s="11">
        <f t="shared" si="15"/>
        <v>0</v>
      </c>
      <c r="I136" s="11">
        <f t="shared" si="13"/>
        <v>-162000000</v>
      </c>
      <c r="J136" s="11">
        <f t="shared" si="16"/>
        <v>-162000000</v>
      </c>
      <c r="K136" s="11">
        <f t="shared" si="17"/>
        <v>0</v>
      </c>
    </row>
    <row r="137" spans="1:13">
      <c r="A137" s="11" t="s">
        <v>633</v>
      </c>
      <c r="B137" s="18">
        <v>290873</v>
      </c>
      <c r="C137" s="18">
        <v>97359</v>
      </c>
      <c r="D137" s="18">
        <f t="shared" si="12"/>
        <v>193514</v>
      </c>
      <c r="E137" s="11" t="s">
        <v>176</v>
      </c>
      <c r="F137" s="11">
        <v>17</v>
      </c>
      <c r="G137" s="36">
        <f t="shared" si="14"/>
        <v>153</v>
      </c>
      <c r="H137" s="11">
        <f t="shared" si="15"/>
        <v>1</v>
      </c>
      <c r="I137" s="11">
        <f t="shared" si="13"/>
        <v>44212696</v>
      </c>
      <c r="J137" s="11">
        <f t="shared" si="16"/>
        <v>14798568</v>
      </c>
      <c r="K137" s="11">
        <f t="shared" si="17"/>
        <v>29414128</v>
      </c>
    </row>
    <row r="138" spans="1:13">
      <c r="A138" s="11" t="s">
        <v>800</v>
      </c>
      <c r="B138" s="18">
        <v>-1000500</v>
      </c>
      <c r="C138" s="18">
        <v>-1000500</v>
      </c>
      <c r="D138" s="18">
        <f t="shared" si="12"/>
        <v>0</v>
      </c>
      <c r="E138" s="11" t="s">
        <v>801</v>
      </c>
      <c r="F138" s="11">
        <v>12</v>
      </c>
      <c r="G138" s="36">
        <f t="shared" si="14"/>
        <v>136</v>
      </c>
      <c r="H138" s="11">
        <f t="shared" si="15"/>
        <v>0</v>
      </c>
      <c r="I138" s="11">
        <f t="shared" si="13"/>
        <v>-136068000</v>
      </c>
      <c r="J138" s="11">
        <f t="shared" si="16"/>
        <v>-136068000</v>
      </c>
      <c r="K138" s="11">
        <f t="shared" si="17"/>
        <v>0</v>
      </c>
    </row>
    <row r="139" spans="1:13">
      <c r="A139" s="11" t="s">
        <v>815</v>
      </c>
      <c r="B139" s="18">
        <v>282240</v>
      </c>
      <c r="C139" s="18">
        <v>88807</v>
      </c>
      <c r="D139" s="18">
        <f t="shared" si="12"/>
        <v>193433</v>
      </c>
      <c r="E139" s="11" t="s">
        <v>818</v>
      </c>
      <c r="F139" s="11">
        <v>3</v>
      </c>
      <c r="G139" s="36">
        <f t="shared" si="14"/>
        <v>124</v>
      </c>
      <c r="H139" s="11">
        <f t="shared" si="15"/>
        <v>1</v>
      </c>
      <c r="I139" s="11">
        <f t="shared" si="13"/>
        <v>34715520</v>
      </c>
      <c r="J139" s="11">
        <f t="shared" si="16"/>
        <v>10923261</v>
      </c>
      <c r="K139" s="11">
        <f t="shared" si="17"/>
        <v>23792259</v>
      </c>
    </row>
    <row r="140" spans="1:13">
      <c r="A140" s="11" t="s">
        <v>820</v>
      </c>
      <c r="B140" s="18">
        <v>1500000</v>
      </c>
      <c r="C140" s="18">
        <v>0</v>
      </c>
      <c r="D140" s="18">
        <f t="shared" si="12"/>
        <v>1500000</v>
      </c>
      <c r="E140" s="11" t="s">
        <v>821</v>
      </c>
      <c r="F140" s="11">
        <v>13</v>
      </c>
      <c r="G140" s="36">
        <f t="shared" si="14"/>
        <v>121</v>
      </c>
      <c r="H140" s="11">
        <f t="shared" si="15"/>
        <v>1</v>
      </c>
      <c r="I140" s="11">
        <f t="shared" si="13"/>
        <v>180000000</v>
      </c>
      <c r="J140" s="11">
        <f t="shared" si="16"/>
        <v>0</v>
      </c>
      <c r="K140" s="11">
        <f t="shared" si="17"/>
        <v>180000000</v>
      </c>
    </row>
    <row r="141" spans="1:13">
      <c r="A141" s="11" t="s">
        <v>841</v>
      </c>
      <c r="B141" s="18">
        <v>0</v>
      </c>
      <c r="C141" s="18">
        <v>-1000000</v>
      </c>
      <c r="D141" s="18">
        <f t="shared" si="12"/>
        <v>1000000</v>
      </c>
      <c r="E141" s="11" t="s">
        <v>840</v>
      </c>
      <c r="F141" s="11">
        <v>14</v>
      </c>
      <c r="G141" s="36">
        <f t="shared" si="14"/>
        <v>108</v>
      </c>
      <c r="H141" s="11">
        <f t="shared" si="15"/>
        <v>0</v>
      </c>
      <c r="I141" s="11">
        <f t="shared" si="13"/>
        <v>0</v>
      </c>
      <c r="J141" s="11">
        <f t="shared" si="16"/>
        <v>-108000000</v>
      </c>
      <c r="K141" s="11">
        <f t="shared" si="17"/>
        <v>108000000</v>
      </c>
    </row>
    <row r="142" spans="1:13">
      <c r="A142" s="11" t="s">
        <v>854</v>
      </c>
      <c r="B142" s="18">
        <v>290893</v>
      </c>
      <c r="C142" s="18">
        <v>81022</v>
      </c>
      <c r="D142" s="18">
        <f t="shared" si="12"/>
        <v>209871</v>
      </c>
      <c r="E142" s="11" t="s">
        <v>859</v>
      </c>
      <c r="F142" s="11">
        <v>20</v>
      </c>
      <c r="G142" s="36">
        <f t="shared" si="14"/>
        <v>94</v>
      </c>
      <c r="H142" s="11">
        <f t="shared" si="15"/>
        <v>1</v>
      </c>
      <c r="I142" s="11">
        <f t="shared" si="13"/>
        <v>27053049</v>
      </c>
      <c r="J142" s="11">
        <f t="shared" si="16"/>
        <v>7535046</v>
      </c>
      <c r="K142" s="11">
        <f t="shared" si="17"/>
        <v>19518003</v>
      </c>
    </row>
    <row r="143" spans="1:13">
      <c r="A143" s="11" t="s">
        <v>882</v>
      </c>
      <c r="B143" s="18">
        <v>0</v>
      </c>
      <c r="C143" s="18">
        <v>-1000000</v>
      </c>
      <c r="D143" s="18">
        <f t="shared" si="12"/>
        <v>1000000</v>
      </c>
      <c r="E143" s="11" t="s">
        <v>886</v>
      </c>
      <c r="F143" s="11">
        <v>10</v>
      </c>
      <c r="G143" s="36">
        <f t="shared" si="14"/>
        <v>74</v>
      </c>
      <c r="H143" s="11">
        <f t="shared" si="15"/>
        <v>0</v>
      </c>
      <c r="I143" s="11">
        <f t="shared" si="13"/>
        <v>0</v>
      </c>
      <c r="J143" s="11">
        <f t="shared" si="16"/>
        <v>-74000000</v>
      </c>
      <c r="K143" s="11">
        <f t="shared" si="17"/>
        <v>74000000</v>
      </c>
      <c r="M143" t="s">
        <v>25</v>
      </c>
    </row>
    <row r="144" spans="1:13">
      <c r="A144" s="11" t="s">
        <v>891</v>
      </c>
      <c r="B144" s="18">
        <v>294852</v>
      </c>
      <c r="C144" s="18">
        <v>74657</v>
      </c>
      <c r="D144" s="18">
        <f t="shared" si="12"/>
        <v>220195</v>
      </c>
      <c r="E144" s="11" t="s">
        <v>400</v>
      </c>
      <c r="F144" s="11">
        <v>15</v>
      </c>
      <c r="G144" s="36">
        <f t="shared" si="14"/>
        <v>64</v>
      </c>
      <c r="H144" s="11">
        <f t="shared" si="15"/>
        <v>1</v>
      </c>
      <c r="I144" s="11">
        <f t="shared" si="13"/>
        <v>18575676</v>
      </c>
      <c r="J144" s="11">
        <f t="shared" si="16"/>
        <v>4703391</v>
      </c>
      <c r="K144" s="11">
        <f t="shared" si="17"/>
        <v>13872285</v>
      </c>
    </row>
    <row r="145" spans="1:11">
      <c r="A145" s="11" t="s">
        <v>916</v>
      </c>
      <c r="B145" s="18">
        <v>-10000</v>
      </c>
      <c r="C145" s="18">
        <v>-5000</v>
      </c>
      <c r="D145" s="18">
        <f t="shared" si="12"/>
        <v>-5000</v>
      </c>
      <c r="E145" s="74" t="s">
        <v>922</v>
      </c>
      <c r="F145" s="11">
        <v>5</v>
      </c>
      <c r="G145" s="36">
        <f t="shared" si="14"/>
        <v>49</v>
      </c>
      <c r="H145" s="11">
        <f t="shared" si="15"/>
        <v>0</v>
      </c>
      <c r="I145" s="11">
        <f t="shared" si="13"/>
        <v>-490000</v>
      </c>
      <c r="J145" s="11">
        <f t="shared" si="16"/>
        <v>-245000</v>
      </c>
      <c r="K145" s="11">
        <f t="shared" si="17"/>
        <v>-245000</v>
      </c>
    </row>
    <row r="146" spans="1:11">
      <c r="A146" s="11" t="s">
        <v>902</v>
      </c>
      <c r="B146" s="18">
        <v>-1000500</v>
      </c>
      <c r="C146" s="18">
        <v>-1000500</v>
      </c>
      <c r="D146" s="18">
        <f t="shared" si="12"/>
        <v>0</v>
      </c>
      <c r="E146" s="11" t="s">
        <v>903</v>
      </c>
      <c r="F146" s="11">
        <v>6</v>
      </c>
      <c r="G146" s="36">
        <f t="shared" si="14"/>
        <v>44</v>
      </c>
      <c r="H146" s="11">
        <f t="shared" si="15"/>
        <v>0</v>
      </c>
      <c r="I146" s="11">
        <f t="shared" si="13"/>
        <v>-44022000</v>
      </c>
      <c r="J146" s="11">
        <f t="shared" si="16"/>
        <v>-44022000</v>
      </c>
      <c r="K146" s="11">
        <f t="shared" si="17"/>
        <v>0</v>
      </c>
    </row>
    <row r="147" spans="1:11">
      <c r="A147" s="11" t="s">
        <v>941</v>
      </c>
      <c r="B147" s="18">
        <v>-27000000</v>
      </c>
      <c r="C147" s="18">
        <v>0</v>
      </c>
      <c r="D147" s="18">
        <f t="shared" si="12"/>
        <v>-27000000</v>
      </c>
      <c r="E147" s="11" t="s">
        <v>1025</v>
      </c>
      <c r="F147" s="11">
        <v>3</v>
      </c>
      <c r="G147" s="36">
        <f t="shared" si="14"/>
        <v>38</v>
      </c>
      <c r="H147" s="11">
        <f t="shared" si="15"/>
        <v>0</v>
      </c>
      <c r="I147" s="11">
        <f t="shared" si="13"/>
        <v>-1026000000</v>
      </c>
      <c r="J147" s="11">
        <f t="shared" si="16"/>
        <v>0</v>
      </c>
      <c r="K147" s="11">
        <f t="shared" si="17"/>
        <v>-1026000000</v>
      </c>
    </row>
    <row r="148" spans="1:11">
      <c r="A148" s="11" t="s">
        <v>1050</v>
      </c>
      <c r="B148" s="18">
        <v>252436</v>
      </c>
      <c r="C148" s="18">
        <v>65510</v>
      </c>
      <c r="D148" s="18">
        <f t="shared" si="12"/>
        <v>186926</v>
      </c>
      <c r="E148" s="11" t="s">
        <v>1052</v>
      </c>
      <c r="F148" s="11">
        <v>8</v>
      </c>
      <c r="G148" s="36">
        <f t="shared" si="14"/>
        <v>35</v>
      </c>
      <c r="H148" s="11">
        <f t="shared" si="15"/>
        <v>1</v>
      </c>
      <c r="I148" s="11">
        <f t="shared" si="13"/>
        <v>8582824</v>
      </c>
      <c r="J148" s="11">
        <f t="shared" si="16"/>
        <v>2227340</v>
      </c>
      <c r="K148" s="11">
        <f t="shared" si="17"/>
        <v>6355484</v>
      </c>
    </row>
    <row r="149" spans="1:11">
      <c r="A149" s="11" t="s">
        <v>1089</v>
      </c>
      <c r="B149" s="18">
        <v>52400000</v>
      </c>
      <c r="C149" s="18">
        <v>0</v>
      </c>
      <c r="D149" s="18">
        <f t="shared" ref="D149:D174" si="18">B149-C149</f>
        <v>52400000</v>
      </c>
      <c r="E149" s="11" t="s">
        <v>1090</v>
      </c>
      <c r="F149" s="11">
        <v>7</v>
      </c>
      <c r="G149" s="36">
        <f t="shared" si="14"/>
        <v>27</v>
      </c>
      <c r="H149" s="11">
        <f t="shared" si="15"/>
        <v>1</v>
      </c>
      <c r="I149" s="11">
        <f t="shared" si="13"/>
        <v>1362400000</v>
      </c>
      <c r="J149" s="11">
        <f t="shared" si="16"/>
        <v>0</v>
      </c>
      <c r="K149" s="11">
        <f t="shared" si="17"/>
        <v>1362400000</v>
      </c>
    </row>
    <row r="150" spans="1:11">
      <c r="A150" s="11" t="s">
        <v>1108</v>
      </c>
      <c r="B150" s="18">
        <v>-52000000</v>
      </c>
      <c r="C150" s="18">
        <v>0</v>
      </c>
      <c r="D150" s="18">
        <f t="shared" si="18"/>
        <v>-52000000</v>
      </c>
      <c r="E150" s="11" t="s">
        <v>1111</v>
      </c>
      <c r="F150" s="11">
        <v>5</v>
      </c>
      <c r="G150" s="36">
        <f t="shared" si="14"/>
        <v>20</v>
      </c>
      <c r="H150" s="11">
        <f t="shared" si="15"/>
        <v>0</v>
      </c>
      <c r="I150" s="11">
        <f t="shared" si="13"/>
        <v>-1040000000</v>
      </c>
      <c r="J150" s="11">
        <f t="shared" si="16"/>
        <v>0</v>
      </c>
      <c r="K150" s="11">
        <f t="shared" si="17"/>
        <v>-1040000000</v>
      </c>
    </row>
    <row r="151" spans="1:11">
      <c r="A151" s="11" t="s">
        <v>1158</v>
      </c>
      <c r="B151" s="18">
        <v>-8000000</v>
      </c>
      <c r="C151" s="18">
        <v>-6772131</v>
      </c>
      <c r="D151" s="18">
        <f t="shared" si="18"/>
        <v>-1227869</v>
      </c>
      <c r="E151" s="11" t="s">
        <v>1144</v>
      </c>
      <c r="F151" s="11">
        <v>0</v>
      </c>
      <c r="G151" s="36">
        <f t="shared" si="14"/>
        <v>15</v>
      </c>
      <c r="H151" s="105">
        <f t="shared" si="15"/>
        <v>0</v>
      </c>
      <c r="I151" s="105">
        <f t="shared" si="13"/>
        <v>-120000000</v>
      </c>
      <c r="J151" s="105">
        <f t="shared" si="16"/>
        <v>-101581965</v>
      </c>
      <c r="K151" s="11">
        <f t="shared" si="17"/>
        <v>-18418035</v>
      </c>
    </row>
    <row r="152" spans="1:11">
      <c r="A152" s="11" t="s">
        <v>1158</v>
      </c>
      <c r="B152" s="18">
        <v>-31230</v>
      </c>
      <c r="C152" s="18">
        <v>0</v>
      </c>
      <c r="D152" s="18">
        <f t="shared" si="18"/>
        <v>-31230</v>
      </c>
      <c r="E152" s="11" t="s">
        <v>1159</v>
      </c>
      <c r="F152" s="11">
        <v>11</v>
      </c>
      <c r="G152" s="36">
        <f t="shared" si="14"/>
        <v>15</v>
      </c>
      <c r="H152" s="105">
        <f t="shared" si="15"/>
        <v>0</v>
      </c>
      <c r="I152" s="105">
        <f t="shared" si="13"/>
        <v>-468450</v>
      </c>
      <c r="J152" s="105">
        <f t="shared" si="16"/>
        <v>0</v>
      </c>
      <c r="K152" s="105">
        <f t="shared" si="17"/>
        <v>-468450</v>
      </c>
    </row>
    <row r="153" spans="1:11">
      <c r="A153" s="105" t="s">
        <v>1257</v>
      </c>
      <c r="B153" s="18">
        <v>130723</v>
      </c>
      <c r="C153" s="18">
        <v>39801</v>
      </c>
      <c r="D153" s="18">
        <f t="shared" si="18"/>
        <v>90922</v>
      </c>
      <c r="E153" s="105" t="s">
        <v>510</v>
      </c>
      <c r="F153" s="105">
        <v>3</v>
      </c>
      <c r="G153" s="36">
        <f t="shared" si="14"/>
        <v>4</v>
      </c>
      <c r="H153" s="105">
        <f t="shared" si="15"/>
        <v>1</v>
      </c>
      <c r="I153" s="105">
        <f t="shared" si="13"/>
        <v>392169</v>
      </c>
      <c r="J153" s="105">
        <f t="shared" si="16"/>
        <v>119403</v>
      </c>
      <c r="K153" s="105">
        <f t="shared" si="17"/>
        <v>272766</v>
      </c>
    </row>
    <row r="154" spans="1:11">
      <c r="A154" s="105" t="s">
        <v>1269</v>
      </c>
      <c r="B154" s="18">
        <v>6824082</v>
      </c>
      <c r="C154" s="18">
        <v>6824082</v>
      </c>
      <c r="D154" s="18">
        <f t="shared" si="18"/>
        <v>0</v>
      </c>
      <c r="E154" s="105" t="s">
        <v>1270</v>
      </c>
      <c r="F154" s="105">
        <v>1</v>
      </c>
      <c r="G154" s="36">
        <f t="shared" si="14"/>
        <v>1</v>
      </c>
      <c r="H154" s="105">
        <f t="shared" si="15"/>
        <v>1</v>
      </c>
      <c r="I154" s="105">
        <f t="shared" si="13"/>
        <v>0</v>
      </c>
      <c r="J154" s="105">
        <f t="shared" si="16"/>
        <v>0</v>
      </c>
      <c r="K154" s="105">
        <f t="shared" si="17"/>
        <v>0</v>
      </c>
    </row>
    <row r="155" spans="1:11">
      <c r="A155" s="105"/>
      <c r="B155" s="18"/>
      <c r="C155" s="18"/>
      <c r="D155" s="18"/>
      <c r="E155" s="105"/>
      <c r="F155" s="105"/>
      <c r="G155" s="36">
        <f t="shared" si="14"/>
        <v>0</v>
      </c>
      <c r="H155" s="105">
        <f t="shared" si="15"/>
        <v>0</v>
      </c>
      <c r="I155" s="105">
        <f t="shared" si="13"/>
        <v>0</v>
      </c>
      <c r="J155" s="105">
        <f t="shared" si="16"/>
        <v>0</v>
      </c>
      <c r="K155" s="105">
        <f t="shared" si="17"/>
        <v>0</v>
      </c>
    </row>
    <row r="156" spans="1:11">
      <c r="A156" s="105"/>
      <c r="B156" s="18"/>
      <c r="C156" s="18"/>
      <c r="D156" s="18"/>
      <c r="E156" s="105"/>
      <c r="F156" s="105"/>
      <c r="G156" s="36">
        <f t="shared" si="14"/>
        <v>0</v>
      </c>
      <c r="H156" s="105">
        <f t="shared" si="15"/>
        <v>0</v>
      </c>
      <c r="I156" s="105">
        <f t="shared" si="13"/>
        <v>0</v>
      </c>
      <c r="J156" s="105">
        <f t="shared" si="16"/>
        <v>0</v>
      </c>
      <c r="K156" s="105">
        <f t="shared" si="17"/>
        <v>0</v>
      </c>
    </row>
    <row r="157" spans="1:11">
      <c r="A157" s="105"/>
      <c r="B157" s="18"/>
      <c r="C157" s="18"/>
      <c r="D157" s="18"/>
      <c r="E157" s="105"/>
      <c r="F157" s="105"/>
      <c r="G157" s="36">
        <f t="shared" si="14"/>
        <v>0</v>
      </c>
      <c r="H157" s="105">
        <f t="shared" si="15"/>
        <v>0</v>
      </c>
      <c r="I157" s="105">
        <f t="shared" si="13"/>
        <v>0</v>
      </c>
      <c r="J157" s="105">
        <f t="shared" si="16"/>
        <v>0</v>
      </c>
      <c r="K157" s="105">
        <f t="shared" si="17"/>
        <v>0</v>
      </c>
    </row>
    <row r="158" spans="1:11">
      <c r="A158" s="105"/>
      <c r="B158" s="18"/>
      <c r="C158" s="18"/>
      <c r="D158" s="18"/>
      <c r="E158" s="105"/>
      <c r="F158" s="105"/>
      <c r="G158" s="36">
        <f t="shared" si="14"/>
        <v>0</v>
      </c>
      <c r="H158" s="105">
        <f t="shared" si="15"/>
        <v>0</v>
      </c>
      <c r="I158" s="105">
        <f t="shared" si="13"/>
        <v>0</v>
      </c>
      <c r="J158" s="105">
        <f t="shared" si="16"/>
        <v>0</v>
      </c>
      <c r="K158" s="105">
        <f t="shared" si="17"/>
        <v>0</v>
      </c>
    </row>
    <row r="159" spans="1:11">
      <c r="A159" s="105"/>
      <c r="B159" s="18"/>
      <c r="C159" s="18"/>
      <c r="D159" s="18"/>
      <c r="E159" s="105"/>
      <c r="F159" s="105"/>
      <c r="G159" s="36">
        <f t="shared" si="14"/>
        <v>0</v>
      </c>
      <c r="H159" s="105">
        <f t="shared" si="15"/>
        <v>0</v>
      </c>
      <c r="I159" s="105">
        <f t="shared" si="13"/>
        <v>0</v>
      </c>
      <c r="J159" s="105">
        <f t="shared" si="16"/>
        <v>0</v>
      </c>
      <c r="K159" s="105">
        <f t="shared" si="17"/>
        <v>0</v>
      </c>
    </row>
    <row r="160" spans="1:11">
      <c r="A160" s="105"/>
      <c r="B160" s="18"/>
      <c r="C160" s="18"/>
      <c r="D160" s="18"/>
      <c r="E160" s="105"/>
      <c r="F160" s="105"/>
      <c r="G160" s="36">
        <f t="shared" si="14"/>
        <v>0</v>
      </c>
      <c r="H160" s="105">
        <f t="shared" si="15"/>
        <v>0</v>
      </c>
      <c r="I160" s="105">
        <f t="shared" si="13"/>
        <v>0</v>
      </c>
      <c r="J160" s="105">
        <f t="shared" si="16"/>
        <v>0</v>
      </c>
      <c r="K160" s="105">
        <f t="shared" si="17"/>
        <v>0</v>
      </c>
    </row>
    <row r="161" spans="1:13">
      <c r="A161" s="105"/>
      <c r="B161" s="18"/>
      <c r="C161" s="18"/>
      <c r="D161" s="18"/>
      <c r="E161" s="105"/>
      <c r="F161" s="105"/>
      <c r="G161" s="36">
        <f t="shared" si="14"/>
        <v>0</v>
      </c>
      <c r="H161" s="105">
        <f t="shared" si="15"/>
        <v>0</v>
      </c>
      <c r="I161" s="105">
        <f t="shared" si="13"/>
        <v>0</v>
      </c>
      <c r="J161" s="105">
        <f t="shared" si="16"/>
        <v>0</v>
      </c>
      <c r="K161" s="105">
        <f t="shared" si="17"/>
        <v>0</v>
      </c>
    </row>
    <row r="162" spans="1:13">
      <c r="A162" s="105"/>
      <c r="B162" s="18"/>
      <c r="C162" s="18"/>
      <c r="D162" s="18"/>
      <c r="E162" s="105"/>
      <c r="F162" s="105"/>
      <c r="G162" s="36">
        <f t="shared" si="14"/>
        <v>0</v>
      </c>
      <c r="H162" s="105">
        <f t="shared" si="15"/>
        <v>0</v>
      </c>
      <c r="I162" s="105">
        <f t="shared" si="13"/>
        <v>0</v>
      </c>
      <c r="J162" s="105">
        <f t="shared" si="16"/>
        <v>0</v>
      </c>
      <c r="K162" s="105">
        <f t="shared" si="17"/>
        <v>0</v>
      </c>
    </row>
    <row r="163" spans="1:13">
      <c r="A163" s="105"/>
      <c r="B163" s="18"/>
      <c r="C163" s="18"/>
      <c r="D163" s="18"/>
      <c r="E163" s="105"/>
      <c r="F163" s="105"/>
      <c r="G163" s="36">
        <f t="shared" si="14"/>
        <v>0</v>
      </c>
      <c r="H163" s="105">
        <f t="shared" si="15"/>
        <v>0</v>
      </c>
      <c r="I163" s="105">
        <f t="shared" si="13"/>
        <v>0</v>
      </c>
      <c r="J163" s="105">
        <f t="shared" si="16"/>
        <v>0</v>
      </c>
      <c r="K163" s="105">
        <f t="shared" si="17"/>
        <v>0</v>
      </c>
    </row>
    <row r="164" spans="1:13">
      <c r="A164" s="105"/>
      <c r="B164" s="18"/>
      <c r="C164" s="18"/>
      <c r="D164" s="18"/>
      <c r="E164" s="105"/>
      <c r="F164" s="105"/>
      <c r="G164" s="36">
        <f t="shared" si="14"/>
        <v>0</v>
      </c>
      <c r="H164" s="105">
        <f t="shared" si="15"/>
        <v>0</v>
      </c>
      <c r="I164" s="105">
        <f t="shared" si="13"/>
        <v>0</v>
      </c>
      <c r="J164" s="105">
        <f t="shared" si="16"/>
        <v>0</v>
      </c>
      <c r="K164" s="105">
        <f t="shared" si="17"/>
        <v>0</v>
      </c>
    </row>
    <row r="165" spans="1:13">
      <c r="A165" s="105" t="s">
        <v>25</v>
      </c>
      <c r="B165" s="18"/>
      <c r="C165" s="18"/>
      <c r="D165" s="18"/>
      <c r="E165" s="105"/>
      <c r="F165" s="105"/>
      <c r="G165" s="36">
        <f t="shared" si="14"/>
        <v>0</v>
      </c>
      <c r="H165" s="105">
        <f t="shared" si="15"/>
        <v>0</v>
      </c>
      <c r="I165" s="105">
        <f t="shared" si="13"/>
        <v>0</v>
      </c>
      <c r="J165" s="105">
        <f t="shared" si="16"/>
        <v>0</v>
      </c>
      <c r="K165" s="105">
        <f t="shared" si="17"/>
        <v>0</v>
      </c>
    </row>
    <row r="166" spans="1:13">
      <c r="A166" s="105"/>
      <c r="B166" s="18"/>
      <c r="C166" s="18"/>
      <c r="D166" s="18"/>
      <c r="E166" s="105"/>
      <c r="F166" s="105"/>
      <c r="G166" s="36">
        <f t="shared" si="14"/>
        <v>0</v>
      </c>
      <c r="H166" s="105">
        <f t="shared" si="15"/>
        <v>0</v>
      </c>
      <c r="I166" s="105">
        <f t="shared" si="13"/>
        <v>0</v>
      </c>
      <c r="J166" s="105">
        <f t="shared" si="16"/>
        <v>0</v>
      </c>
      <c r="K166" s="105">
        <f t="shared" si="17"/>
        <v>0</v>
      </c>
    </row>
    <row r="167" spans="1:13">
      <c r="A167" s="105"/>
      <c r="B167" s="18"/>
      <c r="C167" s="18"/>
      <c r="D167" s="18"/>
      <c r="E167" s="105"/>
      <c r="F167" s="105"/>
      <c r="G167" s="36">
        <f t="shared" si="14"/>
        <v>0</v>
      </c>
      <c r="H167" s="105">
        <f t="shared" si="15"/>
        <v>0</v>
      </c>
      <c r="I167" s="105">
        <f t="shared" si="13"/>
        <v>0</v>
      </c>
      <c r="J167" s="105">
        <f t="shared" si="16"/>
        <v>0</v>
      </c>
      <c r="K167" s="105">
        <f t="shared" si="17"/>
        <v>0</v>
      </c>
    </row>
    <row r="168" spans="1:13">
      <c r="A168" s="105"/>
      <c r="B168" s="18"/>
      <c r="C168" s="18"/>
      <c r="D168" s="18"/>
      <c r="E168" s="105"/>
      <c r="F168" s="105"/>
      <c r="G168" s="36">
        <f t="shared" si="14"/>
        <v>0</v>
      </c>
      <c r="H168" s="105">
        <f t="shared" si="15"/>
        <v>0</v>
      </c>
      <c r="I168" s="105">
        <f t="shared" si="13"/>
        <v>0</v>
      </c>
      <c r="J168" s="105">
        <f t="shared" si="16"/>
        <v>0</v>
      </c>
      <c r="K168" s="105">
        <f t="shared" si="17"/>
        <v>0</v>
      </c>
      <c r="M168" t="s">
        <v>25</v>
      </c>
    </row>
    <row r="169" spans="1:13">
      <c r="A169" s="105"/>
      <c r="B169" s="18"/>
      <c r="C169" s="18"/>
      <c r="D169" s="18"/>
      <c r="E169" s="105"/>
      <c r="F169" s="105"/>
      <c r="G169" s="36">
        <f t="shared" si="14"/>
        <v>0</v>
      </c>
      <c r="H169" s="105">
        <f t="shared" si="15"/>
        <v>0</v>
      </c>
      <c r="I169" s="105">
        <f t="shared" si="13"/>
        <v>0</v>
      </c>
      <c r="J169" s="105">
        <f t="shared" si="16"/>
        <v>0</v>
      </c>
      <c r="K169" s="105">
        <f t="shared" si="17"/>
        <v>0</v>
      </c>
    </row>
    <row r="170" spans="1:13">
      <c r="A170" s="105"/>
      <c r="B170" s="18"/>
      <c r="C170" s="18"/>
      <c r="D170" s="18"/>
      <c r="E170" s="105"/>
      <c r="F170" s="105"/>
      <c r="G170" s="36">
        <f t="shared" si="14"/>
        <v>0</v>
      </c>
      <c r="H170" s="105">
        <f t="shared" si="15"/>
        <v>0</v>
      </c>
      <c r="I170" s="105">
        <f t="shared" si="13"/>
        <v>0</v>
      </c>
      <c r="J170" s="105">
        <f t="shared" si="16"/>
        <v>0</v>
      </c>
      <c r="K170" s="105">
        <f t="shared" si="17"/>
        <v>0</v>
      </c>
    </row>
    <row r="171" spans="1:13">
      <c r="A171" s="105" t="s">
        <v>25</v>
      </c>
      <c r="B171" s="18"/>
      <c r="C171" s="18"/>
      <c r="D171" s="18"/>
      <c r="E171" s="105"/>
      <c r="F171" s="105"/>
      <c r="G171" s="36">
        <f t="shared" si="14"/>
        <v>0</v>
      </c>
      <c r="H171" s="105">
        <f t="shared" si="15"/>
        <v>0</v>
      </c>
      <c r="I171" s="105">
        <f t="shared" si="13"/>
        <v>0</v>
      </c>
      <c r="J171" s="105">
        <f t="shared" si="16"/>
        <v>0</v>
      </c>
      <c r="K171" s="105">
        <f t="shared" si="17"/>
        <v>0</v>
      </c>
    </row>
    <row r="172" spans="1:13">
      <c r="A172" s="105"/>
      <c r="B172" s="18"/>
      <c r="C172" s="18"/>
      <c r="D172" s="18"/>
      <c r="E172" s="105"/>
      <c r="F172" s="105"/>
      <c r="G172" s="36">
        <f t="shared" si="14"/>
        <v>0</v>
      </c>
      <c r="H172" s="105">
        <f t="shared" si="15"/>
        <v>0</v>
      </c>
      <c r="I172" s="105">
        <f t="shared" si="13"/>
        <v>0</v>
      </c>
      <c r="J172" s="105">
        <f t="shared" si="16"/>
        <v>0</v>
      </c>
      <c r="K172" s="105">
        <f t="shared" si="17"/>
        <v>0</v>
      </c>
    </row>
    <row r="173" spans="1:13">
      <c r="A173" s="105"/>
      <c r="B173" s="18"/>
      <c r="C173" s="18"/>
      <c r="D173" s="18"/>
      <c r="E173" s="105"/>
      <c r="F173" s="105"/>
      <c r="G173" s="36">
        <f t="shared" si="14"/>
        <v>0</v>
      </c>
      <c r="H173" s="105">
        <f t="shared" si="15"/>
        <v>0</v>
      </c>
      <c r="I173" s="105">
        <f t="shared" si="13"/>
        <v>0</v>
      </c>
      <c r="J173" s="105">
        <f t="shared" si="16"/>
        <v>0</v>
      </c>
      <c r="K173" s="105">
        <f t="shared" si="17"/>
        <v>0</v>
      </c>
    </row>
    <row r="174" spans="1:13">
      <c r="A174" s="11"/>
      <c r="B174" s="18"/>
      <c r="C174" s="18"/>
      <c r="D174" s="18">
        <f t="shared" si="18"/>
        <v>0</v>
      </c>
      <c r="E174" s="11"/>
      <c r="F174" s="11"/>
      <c r="G174" s="36">
        <f t="shared" si="14"/>
        <v>0</v>
      </c>
      <c r="H174" s="105">
        <f t="shared" si="15"/>
        <v>0</v>
      </c>
      <c r="I174" s="105">
        <f t="shared" si="13"/>
        <v>0</v>
      </c>
      <c r="J174" s="105">
        <f t="shared" si="16"/>
        <v>0</v>
      </c>
      <c r="K174" s="105">
        <f t="shared" si="17"/>
        <v>0</v>
      </c>
    </row>
    <row r="175" spans="1:13">
      <c r="A175" s="11"/>
      <c r="B175" s="18"/>
      <c r="C175" s="18"/>
      <c r="D175" s="18"/>
      <c r="E175" s="11"/>
      <c r="F175" s="11">
        <v>0</v>
      </c>
      <c r="G175" s="36">
        <f t="shared" si="14"/>
        <v>0</v>
      </c>
      <c r="H175" s="105">
        <f t="shared" si="15"/>
        <v>0</v>
      </c>
      <c r="I175" s="105">
        <f t="shared" si="13"/>
        <v>0</v>
      </c>
      <c r="J175" s="105">
        <f t="shared" si="16"/>
        <v>0</v>
      </c>
      <c r="K175" s="105">
        <f t="shared" si="17"/>
        <v>0</v>
      </c>
    </row>
    <row r="176" spans="1:13">
      <c r="A176" s="11"/>
      <c r="B176" s="18"/>
      <c r="C176" s="18"/>
      <c r="D176" s="18"/>
      <c r="E176" s="11"/>
      <c r="F176" s="11">
        <v>0</v>
      </c>
      <c r="G176" s="36">
        <f t="shared" si="14"/>
        <v>0</v>
      </c>
      <c r="H176" s="105">
        <f t="shared" si="15"/>
        <v>0</v>
      </c>
      <c r="I176" s="105">
        <f t="shared" si="13"/>
        <v>0</v>
      </c>
      <c r="J176" s="105">
        <f t="shared" si="16"/>
        <v>0</v>
      </c>
      <c r="K176" s="105">
        <f t="shared" si="17"/>
        <v>0</v>
      </c>
    </row>
    <row r="177" spans="1:11">
      <c r="A177" s="11"/>
      <c r="B177" s="29">
        <f>SUM(B2:B176)</f>
        <v>7733638</v>
      </c>
      <c r="C177" s="29">
        <f>SUM(C2:C175)</f>
        <v>7643076</v>
      </c>
      <c r="D177" s="29">
        <f>SUM(D2:D175)</f>
        <v>90562</v>
      </c>
      <c r="E177" s="11"/>
      <c r="F177" s="11"/>
      <c r="G177" s="11"/>
      <c r="H177" s="11"/>
      <c r="I177" s="29">
        <f>SUM(I2:I176)</f>
        <v>18606717327</v>
      </c>
      <c r="J177" s="29">
        <f>SUM(J2:J176)</f>
        <v>6888326101</v>
      </c>
      <c r="K177" s="29">
        <f>SUM(K2:K176)</f>
        <v>11718391226</v>
      </c>
    </row>
    <row r="178" spans="1:11">
      <c r="A178" s="11"/>
      <c r="B178" s="11" t="s">
        <v>283</v>
      </c>
      <c r="C178" s="11" t="s">
        <v>488</v>
      </c>
      <c r="D178" s="11" t="s">
        <v>489</v>
      </c>
      <c r="E178" s="11"/>
      <c r="F178" s="11"/>
      <c r="G178" s="11"/>
      <c r="H178" s="11"/>
      <c r="I178" s="11" t="s">
        <v>485</v>
      </c>
      <c r="J178" s="11" t="s">
        <v>486</v>
      </c>
      <c r="K178" s="11" t="s">
        <v>487</v>
      </c>
    </row>
    <row r="179" spans="1:11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</row>
    <row r="180" spans="1:11">
      <c r="A180" s="11"/>
      <c r="B180" s="11"/>
      <c r="C180" s="11"/>
      <c r="D180" s="11"/>
      <c r="E180" s="11"/>
      <c r="F180" s="11"/>
      <c r="G180" s="11"/>
      <c r="H180" s="11"/>
      <c r="I180" s="3">
        <f>I177/G2</f>
        <v>25009028.665322579</v>
      </c>
      <c r="J180" s="29">
        <f>J177/G2</f>
        <v>9258502.8239247315</v>
      </c>
      <c r="K180" s="29">
        <f>K177/G2</f>
        <v>15750525.84139785</v>
      </c>
    </row>
    <row r="181" spans="1:11">
      <c r="A181" s="11"/>
      <c r="B181" s="11"/>
      <c r="C181" s="11"/>
      <c r="D181" s="11"/>
      <c r="E181" s="11"/>
      <c r="F181" s="11"/>
      <c r="G181" s="11"/>
      <c r="H181" s="11"/>
      <c r="I181" s="11" t="s">
        <v>491</v>
      </c>
      <c r="J181" s="11" t="s">
        <v>492</v>
      </c>
      <c r="K181" s="11" t="s">
        <v>493</v>
      </c>
    </row>
    <row r="184" spans="1:11" ht="30">
      <c r="B184" s="22" t="s">
        <v>858</v>
      </c>
      <c r="D184" s="104">
        <f>D177-D151+D152</f>
        <v>1287201</v>
      </c>
      <c r="G184" t="s">
        <v>25</v>
      </c>
      <c r="J184">
        <f>J177/I177*1448696</f>
        <v>536316.55137436569</v>
      </c>
      <c r="K184">
        <f>K177/I177*1448696</f>
        <v>912379.44862563431</v>
      </c>
    </row>
    <row r="185" spans="1:11">
      <c r="B185" s="7"/>
    </row>
    <row r="186" spans="1:11">
      <c r="B186" s="7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57.7109375" customWidth="1"/>
    <col min="6" max="6" width="22.5703125" bestFit="1" customWidth="1"/>
    <col min="7" max="7" width="1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'اسفند 95'!B24</f>
        <v>28283328</v>
      </c>
      <c r="C2" s="1">
        <f>'اسفند 95'!C24</f>
        <v>10969149</v>
      </c>
      <c r="D2" s="3">
        <f>B2-C2</f>
        <v>17314179</v>
      </c>
      <c r="E2" s="2" t="s">
        <v>59</v>
      </c>
      <c r="F2">
        <v>31</v>
      </c>
      <c r="G2">
        <f>B2*F2</f>
        <v>876783168</v>
      </c>
      <c r="H2">
        <f>C2*F2</f>
        <v>340043619</v>
      </c>
      <c r="I2">
        <f>D2*F2</f>
        <v>536739549</v>
      </c>
      <c r="O2">
        <v>1</v>
      </c>
      <c r="P2">
        <v>30</v>
      </c>
      <c r="Q2">
        <v>31</v>
      </c>
    </row>
    <row r="3" spans="1:17">
      <c r="A3" s="20" t="s">
        <v>490</v>
      </c>
      <c r="B3" s="39">
        <v>174678</v>
      </c>
      <c r="C3" s="39">
        <v>87363</v>
      </c>
      <c r="D3" s="35">
        <f t="shared" ref="D3:D22" si="0">B3-C3</f>
        <v>87315</v>
      </c>
      <c r="E3" s="23" t="s">
        <v>473</v>
      </c>
      <c r="F3">
        <v>30</v>
      </c>
      <c r="G3">
        <f t="shared" ref="G3:G23" si="1">B3*F3</f>
        <v>5240340</v>
      </c>
      <c r="H3">
        <f t="shared" ref="H3:H23" si="2">C3*F3</f>
        <v>2620890</v>
      </c>
      <c r="I3">
        <f t="shared" ref="I3:I23" si="3">D3*F3</f>
        <v>2619450</v>
      </c>
      <c r="O3">
        <v>2</v>
      </c>
      <c r="P3">
        <v>29</v>
      </c>
      <c r="Q3">
        <v>30</v>
      </c>
    </row>
    <row r="4" spans="1:17">
      <c r="A4" s="20" t="s">
        <v>495</v>
      </c>
      <c r="B4" s="18">
        <v>-28400000</v>
      </c>
      <c r="C4" s="18">
        <v>0</v>
      </c>
      <c r="D4" s="3">
        <f t="shared" si="0"/>
        <v>-28400000</v>
      </c>
      <c r="E4" s="20" t="s">
        <v>496</v>
      </c>
      <c r="F4">
        <v>15</v>
      </c>
      <c r="G4">
        <f t="shared" si="1"/>
        <v>-426000000</v>
      </c>
      <c r="H4">
        <f t="shared" si="2"/>
        <v>0</v>
      </c>
      <c r="I4">
        <f t="shared" si="3"/>
        <v>-426000000</v>
      </c>
      <c r="O4">
        <v>3</v>
      </c>
      <c r="P4">
        <v>28</v>
      </c>
      <c r="Q4">
        <v>29</v>
      </c>
    </row>
    <row r="5" spans="1:17">
      <c r="A5" s="30" t="s">
        <v>427</v>
      </c>
      <c r="B5" s="18">
        <v>0</v>
      </c>
      <c r="C5" s="18">
        <v>0</v>
      </c>
      <c r="D5" s="3">
        <f t="shared" si="0"/>
        <v>0</v>
      </c>
      <c r="E5" s="20"/>
      <c r="F5">
        <v>24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 t="s">
        <v>439</v>
      </c>
      <c r="B6" s="18">
        <v>0</v>
      </c>
      <c r="C6" s="18">
        <v>0</v>
      </c>
      <c r="D6" s="3">
        <f t="shared" si="0"/>
        <v>0</v>
      </c>
      <c r="E6" s="19"/>
      <c r="F6">
        <v>20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58006</v>
      </c>
      <c r="C24" s="3">
        <f>SUM(C2:C22)</f>
        <v>11056512</v>
      </c>
      <c r="D24" s="3">
        <f>SUM(D2:D22)</f>
        <v>-10998506</v>
      </c>
      <c r="E24" s="2"/>
      <c r="O24">
        <v>23</v>
      </c>
      <c r="P24">
        <v>8</v>
      </c>
      <c r="Q24">
        <v>9</v>
      </c>
    </row>
    <row r="25" spans="1:17">
      <c r="G25">
        <f>SUM(G2:G23)</f>
        <v>456023508</v>
      </c>
      <c r="H25">
        <f>SUM(H2:H23)</f>
        <v>342664509</v>
      </c>
      <c r="I25">
        <f>SUM(I2:I23)</f>
        <v>113358999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4627302</v>
      </c>
      <c r="E30" s="41" t="s">
        <v>95</v>
      </c>
      <c r="G30" s="1">
        <v>163040</v>
      </c>
      <c r="H30" s="1">
        <f>G30*H25/G25</f>
        <v>122511.27533399002</v>
      </c>
      <c r="I30" s="1">
        <f>G30*I25/G25</f>
        <v>40528.724666009985</v>
      </c>
      <c r="O30">
        <v>29</v>
      </c>
      <c r="P30">
        <v>2</v>
      </c>
      <c r="Q30">
        <v>3</v>
      </c>
    </row>
    <row r="31" spans="1:17">
      <c r="D31" s="42">
        <v>-110000</v>
      </c>
      <c r="E31" s="41" t="s">
        <v>474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220000</v>
      </c>
      <c r="E32" s="41" t="s">
        <v>481</v>
      </c>
      <c r="O32">
        <v>31</v>
      </c>
      <c r="P32">
        <v>0</v>
      </c>
      <c r="Q32">
        <v>1</v>
      </c>
    </row>
    <row r="33" spans="4:17">
      <c r="D33" s="42">
        <v>-450000</v>
      </c>
      <c r="E33" s="41" t="s">
        <v>503</v>
      </c>
      <c r="P33" t="s">
        <v>60</v>
      </c>
      <c r="Q33" t="s">
        <v>61</v>
      </c>
    </row>
    <row r="34" spans="4:17">
      <c r="D34" s="42"/>
      <c r="E34" s="41"/>
    </row>
    <row r="35" spans="4:17">
      <c r="D35" s="42"/>
      <c r="E35" s="41"/>
    </row>
    <row r="36" spans="4:17">
      <c r="D36" s="42"/>
      <c r="E36" s="40"/>
    </row>
    <row r="37" spans="4:17">
      <c r="D37" s="42"/>
      <c r="E37" s="41"/>
    </row>
    <row r="38" spans="4:17">
      <c r="D38" s="7"/>
      <c r="E38" s="41"/>
    </row>
    <row r="39" spans="4:17">
      <c r="D39" s="7"/>
      <c r="E39" s="41"/>
    </row>
    <row r="40" spans="4:17">
      <c r="D40" s="7"/>
      <c r="E40" s="41"/>
    </row>
    <row r="41" spans="4:17">
      <c r="D41" s="7"/>
      <c r="E41" s="41"/>
    </row>
    <row r="42" spans="4:17">
      <c r="D42" s="7"/>
      <c r="E42" s="41"/>
    </row>
    <row r="43" spans="4:17">
      <c r="D43" s="7">
        <f>SUM(D30:D40)</f>
        <v>4287302</v>
      </c>
      <c r="E43" t="s">
        <v>6</v>
      </c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  <row r="49" spans="4:5">
      <c r="D49" s="7"/>
      <c r="E49" s="41"/>
    </row>
    <row r="50" spans="4:5">
      <c r="D50" s="7"/>
      <c r="E50" s="41"/>
    </row>
    <row r="51" spans="4:5">
      <c r="D51" s="7"/>
      <c r="E51" s="41"/>
    </row>
    <row r="52" spans="4:5">
      <c r="D52" s="7"/>
      <c r="E52" s="41" t="s">
        <v>25</v>
      </c>
    </row>
    <row r="53" spans="4:5">
      <c r="D53" s="7"/>
      <c r="E53" s="41" t="s">
        <v>25</v>
      </c>
    </row>
    <row r="54" spans="4:5">
      <c r="D54" s="7" t="s">
        <v>25</v>
      </c>
      <c r="E54" s="41" t="s">
        <v>25</v>
      </c>
    </row>
    <row r="56" spans="4:5">
      <c r="D56" s="7"/>
    </row>
    <row r="57" spans="4:5">
      <c r="D57" s="7"/>
    </row>
    <row r="58" spans="4:5">
      <c r="D58" s="7"/>
    </row>
    <row r="59" spans="4:5">
      <c r="D59" s="7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0" workbookViewId="0">
      <selection activeCell="M26" sqref="M26"/>
    </sheetView>
  </sheetViews>
  <sheetFormatPr defaultRowHeight="15"/>
  <cols>
    <col min="1" max="1" width="10.7109375" bestFit="1" customWidth="1"/>
    <col min="2" max="2" width="15.85546875" bestFit="1" customWidth="1"/>
    <col min="3" max="3" width="16.140625" bestFit="1" customWidth="1"/>
    <col min="4" max="4" width="16.85546875" bestFit="1" customWidth="1"/>
    <col min="5" max="5" width="40.7109375" bestFit="1" customWidth="1"/>
    <col min="6" max="6" width="18.85546875" bestFit="1" customWidth="1"/>
    <col min="7" max="7" width="10.7109375" bestFit="1" customWidth="1"/>
    <col min="8" max="8" width="12.42578125" bestFit="1" customWidth="1"/>
    <col min="9" max="9" width="13.28515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'فروردین 96'!B24</f>
        <v>58006</v>
      </c>
      <c r="C2" s="1">
        <f>'فروردین 96'!C24</f>
        <v>11056512</v>
      </c>
      <c r="D2" s="3">
        <f>B2-C2</f>
        <v>-10998506</v>
      </c>
      <c r="E2" s="2" t="s">
        <v>59</v>
      </c>
      <c r="F2">
        <v>31</v>
      </c>
      <c r="G2">
        <f>B2*F2</f>
        <v>1798186</v>
      </c>
      <c r="H2">
        <f>C2*F2</f>
        <v>342751872</v>
      </c>
      <c r="I2">
        <f>D2*F2</f>
        <v>-340953686</v>
      </c>
      <c r="O2">
        <v>1</v>
      </c>
      <c r="P2">
        <v>30</v>
      </c>
      <c r="Q2">
        <v>31</v>
      </c>
    </row>
    <row r="3" spans="1:17">
      <c r="A3" s="20" t="s">
        <v>509</v>
      </c>
      <c r="B3" s="39">
        <v>163040</v>
      </c>
      <c r="C3" s="39">
        <v>122511</v>
      </c>
      <c r="D3" s="35">
        <f t="shared" ref="D3:D23" si="0">B3-C3</f>
        <v>40529</v>
      </c>
      <c r="E3" s="23" t="s">
        <v>513</v>
      </c>
      <c r="F3">
        <v>30</v>
      </c>
      <c r="G3">
        <f t="shared" ref="G3:G24" si="1">B3*F3</f>
        <v>4891200</v>
      </c>
      <c r="H3">
        <f t="shared" ref="H3:H24" si="2">C3*F3</f>
        <v>3675330</v>
      </c>
      <c r="I3">
        <f t="shared" ref="I3:I24" si="3">D3*F3</f>
        <v>1215870</v>
      </c>
      <c r="O3">
        <v>2</v>
      </c>
      <c r="P3">
        <v>29</v>
      </c>
      <c r="Q3">
        <v>30</v>
      </c>
    </row>
    <row r="4" spans="1:17">
      <c r="A4" s="20" t="s">
        <v>509</v>
      </c>
      <c r="B4" s="18">
        <v>-5700</v>
      </c>
      <c r="C4" s="18">
        <v>-2500</v>
      </c>
      <c r="D4" s="3">
        <f t="shared" si="0"/>
        <v>-3200</v>
      </c>
      <c r="E4" s="19" t="s">
        <v>512</v>
      </c>
      <c r="F4">
        <v>31</v>
      </c>
      <c r="G4">
        <f t="shared" si="1"/>
        <v>-176700</v>
      </c>
      <c r="H4">
        <f t="shared" si="2"/>
        <v>-77500</v>
      </c>
      <c r="I4">
        <f t="shared" si="3"/>
        <v>-99200</v>
      </c>
      <c r="O4">
        <v>3</v>
      </c>
      <c r="P4">
        <v>28</v>
      </c>
      <c r="Q4">
        <v>29</v>
      </c>
    </row>
    <row r="5" spans="1:17">
      <c r="A5" s="20" t="s">
        <v>526</v>
      </c>
      <c r="B5" s="18">
        <v>0</v>
      </c>
      <c r="C5" s="18">
        <v>500000</v>
      </c>
      <c r="D5" s="3">
        <f t="shared" si="0"/>
        <v>-500000</v>
      </c>
      <c r="E5" s="20" t="s">
        <v>527</v>
      </c>
      <c r="F5">
        <v>17</v>
      </c>
      <c r="G5">
        <f t="shared" si="1"/>
        <v>0</v>
      </c>
      <c r="H5">
        <f t="shared" si="2"/>
        <v>8500000</v>
      </c>
      <c r="I5">
        <f t="shared" si="3"/>
        <v>-8500000</v>
      </c>
      <c r="O5">
        <v>4</v>
      </c>
      <c r="P5">
        <v>27</v>
      </c>
      <c r="Q5">
        <v>28</v>
      </c>
    </row>
    <row r="6" spans="1:17">
      <c r="A6" s="30" t="s">
        <v>532</v>
      </c>
      <c r="B6" s="18">
        <v>-160000</v>
      </c>
      <c r="C6" s="18">
        <v>0</v>
      </c>
      <c r="D6" s="3">
        <f t="shared" si="0"/>
        <v>-160000</v>
      </c>
      <c r="E6" s="20" t="s">
        <v>533</v>
      </c>
      <c r="F6">
        <v>10</v>
      </c>
      <c r="G6">
        <f t="shared" si="1"/>
        <v>-1600000</v>
      </c>
      <c r="H6">
        <f t="shared" si="2"/>
        <v>0</v>
      </c>
      <c r="I6">
        <f t="shared" si="3"/>
        <v>-1600000</v>
      </c>
      <c r="O6">
        <v>5</v>
      </c>
      <c r="P6">
        <v>26</v>
      </c>
      <c r="Q6">
        <v>27</v>
      </c>
    </row>
    <row r="7" spans="1:17">
      <c r="A7" s="17" t="s">
        <v>439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 t="s">
        <v>343</v>
      </c>
      <c r="B9" s="18">
        <v>0</v>
      </c>
      <c r="C9" s="18">
        <v>0</v>
      </c>
      <c r="D9" s="3">
        <f t="shared" si="0"/>
        <v>0</v>
      </c>
      <c r="E9" s="19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21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K10" t="s">
        <v>25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17">
        <v>0</v>
      </c>
      <c r="B12" s="18">
        <v>0</v>
      </c>
      <c r="C12" s="18">
        <v>0</v>
      </c>
      <c r="D12" s="3">
        <f t="shared" si="0"/>
        <v>0</v>
      </c>
      <c r="E12" s="19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 t="shared" si="1"/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>B14*F14</f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>
        <v>0</v>
      </c>
      <c r="B18" s="18">
        <v>0</v>
      </c>
      <c r="C18" s="18">
        <v>0</v>
      </c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20"/>
      <c r="B20" s="18"/>
      <c r="C20" s="18"/>
      <c r="D20" s="3">
        <f t="shared" si="0"/>
        <v>0</v>
      </c>
      <c r="E20" s="20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19"/>
      <c r="B23" s="18"/>
      <c r="C23" s="18"/>
      <c r="D23" s="3">
        <f t="shared" si="0"/>
        <v>0</v>
      </c>
      <c r="E23" s="19"/>
      <c r="F23">
        <v>0</v>
      </c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/>
      <c r="B24" s="2"/>
      <c r="C24" s="2"/>
      <c r="D24" s="2"/>
      <c r="E24" s="2"/>
      <c r="G24">
        <f t="shared" si="1"/>
        <v>0</v>
      </c>
      <c r="H24">
        <f t="shared" si="2"/>
        <v>0</v>
      </c>
      <c r="I24">
        <f t="shared" si="3"/>
        <v>0</v>
      </c>
      <c r="O24">
        <v>23</v>
      </c>
      <c r="P24">
        <v>8</v>
      </c>
      <c r="Q24">
        <v>9</v>
      </c>
    </row>
    <row r="25" spans="1:17">
      <c r="A25" s="2" t="s">
        <v>6</v>
      </c>
      <c r="B25" s="3">
        <f>SUM(B2:B23)</f>
        <v>55346</v>
      </c>
      <c r="C25" s="3">
        <f>SUM(C2:C23)</f>
        <v>11676523</v>
      </c>
      <c r="D25" s="3">
        <f>SUM(D2:D23)</f>
        <v>-11621177</v>
      </c>
      <c r="E25" s="2"/>
      <c r="O25">
        <v>24</v>
      </c>
      <c r="P25">
        <v>7</v>
      </c>
      <c r="Q25">
        <v>8</v>
      </c>
    </row>
    <row r="26" spans="1:17">
      <c r="G26">
        <f>SUM(G2:G24)</f>
        <v>4912686</v>
      </c>
      <c r="H26">
        <f>SUM(H2:H24)</f>
        <v>354849702</v>
      </c>
      <c r="I26">
        <f>SUM(I2:I24)</f>
        <v>-349937016</v>
      </c>
      <c r="O26">
        <v>25</v>
      </c>
      <c r="P26">
        <v>6</v>
      </c>
      <c r="Q26">
        <v>7</v>
      </c>
    </row>
    <row r="27" spans="1:17">
      <c r="G27" t="s">
        <v>62</v>
      </c>
      <c r="H27" t="s">
        <v>36</v>
      </c>
      <c r="I27" t="s">
        <v>37</v>
      </c>
      <c r="O27">
        <v>26</v>
      </c>
      <c r="P27">
        <v>5</v>
      </c>
      <c r="Q27">
        <v>6</v>
      </c>
    </row>
    <row r="28" spans="1:17">
      <c r="O28">
        <v>27</v>
      </c>
      <c r="P28">
        <v>4</v>
      </c>
      <c r="Q28">
        <v>5</v>
      </c>
    </row>
    <row r="29" spans="1:17">
      <c r="F29" t="s">
        <v>25</v>
      </c>
      <c r="O29">
        <v>28</v>
      </c>
      <c r="P29">
        <v>3</v>
      </c>
      <c r="Q29">
        <v>4</v>
      </c>
    </row>
    <row r="30" spans="1:17">
      <c r="D30" s="41"/>
      <c r="E30" s="41" t="s">
        <v>85</v>
      </c>
      <c r="O30">
        <v>29</v>
      </c>
      <c r="P30">
        <v>2</v>
      </c>
      <c r="Q30">
        <v>3</v>
      </c>
    </row>
    <row r="31" spans="1:17">
      <c r="D31" s="42">
        <v>4287302</v>
      </c>
      <c r="E31" s="41" t="s">
        <v>95</v>
      </c>
      <c r="G31" s="1">
        <f>G26*11/36500</f>
        <v>1480.535506849315</v>
      </c>
      <c r="H31" s="1">
        <f>G31*H26/G26</f>
        <v>106941.00608219177</v>
      </c>
      <c r="I31" s="1">
        <f>G31*I26/G26</f>
        <v>-105460.47057534246</v>
      </c>
      <c r="O31">
        <v>30</v>
      </c>
      <c r="P31">
        <v>1</v>
      </c>
      <c r="Q31">
        <v>2</v>
      </c>
    </row>
    <row r="32" spans="1:17" ht="30">
      <c r="D32" s="42">
        <v>150000</v>
      </c>
      <c r="E32" s="54" t="s">
        <v>528</v>
      </c>
      <c r="G32" s="9" t="s">
        <v>408</v>
      </c>
      <c r="H32" s="9" t="s">
        <v>38</v>
      </c>
      <c r="I32" s="9" t="s">
        <v>39</v>
      </c>
      <c r="O32">
        <v>31</v>
      </c>
      <c r="P32">
        <v>0</v>
      </c>
      <c r="Q32">
        <v>1</v>
      </c>
    </row>
    <row r="33" spans="2:17">
      <c r="B33" s="7"/>
      <c r="D33" s="42">
        <v>200000</v>
      </c>
      <c r="E33" s="41" t="s">
        <v>529</v>
      </c>
      <c r="P33" t="s">
        <v>60</v>
      </c>
      <c r="Q33" t="s">
        <v>61</v>
      </c>
    </row>
    <row r="34" spans="2:17">
      <c r="D34" s="42">
        <v>620000</v>
      </c>
      <c r="E34" s="41" t="s">
        <v>530</v>
      </c>
    </row>
    <row r="35" spans="2:17">
      <c r="D35" s="42">
        <v>5000</v>
      </c>
      <c r="E35" s="41" t="s">
        <v>529</v>
      </c>
    </row>
    <row r="36" spans="2:17">
      <c r="D36" s="42">
        <v>-800000</v>
      </c>
      <c r="E36" s="41" t="s">
        <v>531</v>
      </c>
    </row>
    <row r="37" spans="2:17">
      <c r="D37" s="42">
        <v>70000</v>
      </c>
      <c r="E37" s="40" t="s">
        <v>100</v>
      </c>
    </row>
    <row r="38" spans="2:17">
      <c r="D38" s="42">
        <v>160000</v>
      </c>
      <c r="E38" s="41" t="s">
        <v>535</v>
      </c>
    </row>
    <row r="39" spans="2:17">
      <c r="D39" s="7">
        <v>200000</v>
      </c>
      <c r="E39" s="41" t="s">
        <v>536</v>
      </c>
    </row>
    <row r="40" spans="2:17">
      <c r="D40" s="7">
        <v>255000</v>
      </c>
      <c r="E40" s="41" t="s">
        <v>541</v>
      </c>
    </row>
    <row r="41" spans="2:17">
      <c r="D41" s="7">
        <v>-200000</v>
      </c>
      <c r="E41" s="41" t="s">
        <v>542</v>
      </c>
    </row>
    <row r="42" spans="2:17">
      <c r="D42" s="7"/>
      <c r="E42" s="41"/>
    </row>
    <row r="43" spans="2:17">
      <c r="D43" s="7"/>
      <c r="E43" s="41"/>
    </row>
    <row r="44" spans="2:17">
      <c r="D44" s="7">
        <f>SUM(D31:D41)</f>
        <v>4947302</v>
      </c>
      <c r="E44" t="s">
        <v>6</v>
      </c>
    </row>
    <row r="45" spans="2:17">
      <c r="D45" s="7"/>
      <c r="E45" s="41"/>
    </row>
    <row r="46" spans="2:17">
      <c r="D46" s="7"/>
      <c r="E46" s="41"/>
    </row>
    <row r="47" spans="2:17">
      <c r="D47" s="7"/>
      <c r="E47" s="41"/>
    </row>
    <row r="48" spans="2:17">
      <c r="D48" s="7"/>
      <c r="E48" s="41"/>
    </row>
    <row r="49" spans="4:5">
      <c r="D49" s="7"/>
      <c r="E49" s="41"/>
    </row>
    <row r="50" spans="4:5">
      <c r="D50" s="7"/>
      <c r="E50" s="41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4" workbookViewId="0">
      <selection activeCell="E37" sqref="E37"/>
    </sheetView>
  </sheetViews>
  <sheetFormatPr defaultRowHeight="15"/>
  <cols>
    <col min="1" max="1" width="10.7109375" bestFit="1" customWidth="1"/>
    <col min="2" max="3" width="15.140625" bestFit="1" customWidth="1"/>
    <col min="4" max="4" width="15.85546875" bestFit="1" customWidth="1"/>
    <col min="5" max="5" width="34.85546875" bestFit="1" customWidth="1"/>
    <col min="6" max="6" width="18.85546875" bestFit="1" customWidth="1"/>
    <col min="7" max="8" width="12" bestFit="1" customWidth="1"/>
    <col min="9" max="9" width="12.71093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543</v>
      </c>
      <c r="B2" s="3">
        <f>'اردیبهشت 96'!B25</f>
        <v>55346</v>
      </c>
      <c r="C2" s="1">
        <f>'اردیبهشت 96'!C25</f>
        <v>11676523</v>
      </c>
      <c r="D2" s="3">
        <f>B2-C2</f>
        <v>-11621177</v>
      </c>
      <c r="E2" s="2" t="s">
        <v>59</v>
      </c>
      <c r="F2">
        <v>31</v>
      </c>
      <c r="G2">
        <f>B2*F2</f>
        <v>1715726</v>
      </c>
      <c r="H2">
        <f>C2*F2</f>
        <v>361972213</v>
      </c>
      <c r="I2">
        <f>D2*F2</f>
        <v>-360256487</v>
      </c>
      <c r="O2">
        <v>1</v>
      </c>
      <c r="P2">
        <v>30</v>
      </c>
      <c r="Q2">
        <v>31</v>
      </c>
    </row>
    <row r="3" spans="1:17">
      <c r="A3" s="20" t="s">
        <v>550</v>
      </c>
      <c r="B3" s="39">
        <v>1481</v>
      </c>
      <c r="C3" s="39">
        <v>106941</v>
      </c>
      <c r="D3" s="35">
        <f t="shared" ref="D3:D22" si="0">B3-C3</f>
        <v>-105460</v>
      </c>
      <c r="E3" s="23" t="s">
        <v>553</v>
      </c>
      <c r="F3">
        <v>30</v>
      </c>
      <c r="G3">
        <f t="shared" ref="G3:G23" si="1">B3*F3</f>
        <v>44430</v>
      </c>
      <c r="H3">
        <f t="shared" ref="H3:H23" si="2">C3*F3</f>
        <v>3208230</v>
      </c>
      <c r="I3">
        <f t="shared" ref="I3:I23" si="3">D3*F3</f>
        <v>-3163800</v>
      </c>
      <c r="O3">
        <v>2</v>
      </c>
      <c r="P3">
        <v>29</v>
      </c>
      <c r="Q3">
        <v>30</v>
      </c>
    </row>
    <row r="4" spans="1:17">
      <c r="A4" s="20" t="s">
        <v>577</v>
      </c>
      <c r="B4" s="18">
        <v>39399500</v>
      </c>
      <c r="C4" s="18">
        <v>0</v>
      </c>
      <c r="D4" s="3">
        <f t="shared" si="0"/>
        <v>39399500</v>
      </c>
      <c r="E4" s="20" t="s">
        <v>580</v>
      </c>
      <c r="F4">
        <v>8</v>
      </c>
      <c r="G4">
        <f t="shared" si="1"/>
        <v>315196000</v>
      </c>
      <c r="H4">
        <f t="shared" si="2"/>
        <v>0</v>
      </c>
      <c r="I4">
        <f t="shared" si="3"/>
        <v>315196000</v>
      </c>
      <c r="O4">
        <v>3</v>
      </c>
      <c r="P4">
        <v>28</v>
      </c>
      <c r="Q4">
        <v>29</v>
      </c>
    </row>
    <row r="5" spans="1:17">
      <c r="A5" s="30">
        <v>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39456327</v>
      </c>
      <c r="C24" s="3">
        <f>SUM(C2:C22)</f>
        <v>11783464</v>
      </c>
      <c r="D24" s="3">
        <f>SUM(D2:D22)</f>
        <v>27672863</v>
      </c>
      <c r="E24" s="2"/>
      <c r="O24">
        <v>23</v>
      </c>
      <c r="P24">
        <v>8</v>
      </c>
      <c r="Q24">
        <v>9</v>
      </c>
    </row>
    <row r="25" spans="1:17">
      <c r="G25">
        <f>SUM(G2:G23)</f>
        <v>316956156</v>
      </c>
      <c r="H25">
        <f>SUM(H2:H23)</f>
        <v>365180443</v>
      </c>
      <c r="I25">
        <f>SUM(I2:I23)</f>
        <v>-48224287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4947302</v>
      </c>
      <c r="E30" s="41" t="s">
        <v>95</v>
      </c>
      <c r="G30" s="9">
        <f>G25*11/36500</f>
        <v>95521.033315068489</v>
      </c>
      <c r="H30" s="9">
        <f>G30*H25/G25</f>
        <v>110054.38008219177</v>
      </c>
      <c r="I30" s="9">
        <f>G30*I25/G25</f>
        <v>-14533.346767123287</v>
      </c>
      <c r="O30">
        <v>29</v>
      </c>
      <c r="P30">
        <v>2</v>
      </c>
      <c r="Q30">
        <v>3</v>
      </c>
    </row>
    <row r="31" spans="1:17" ht="33" customHeight="1">
      <c r="D31" s="42">
        <v>200000</v>
      </c>
      <c r="E31" s="54" t="s">
        <v>554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-50000</v>
      </c>
      <c r="E32" s="41" t="s">
        <v>555</v>
      </c>
      <c r="O32">
        <v>31</v>
      </c>
      <c r="P32">
        <v>0</v>
      </c>
      <c r="Q32">
        <v>1</v>
      </c>
    </row>
    <row r="33" spans="4:17">
      <c r="D33" s="42">
        <v>120000</v>
      </c>
      <c r="E33" s="41" t="s">
        <v>556</v>
      </c>
      <c r="P33" t="s">
        <v>60</v>
      </c>
      <c r="Q33" t="s">
        <v>61</v>
      </c>
    </row>
    <row r="34" spans="4:17">
      <c r="D34" s="42">
        <v>-40000</v>
      </c>
      <c r="E34" s="41" t="s">
        <v>557</v>
      </c>
    </row>
    <row r="35" spans="4:17">
      <c r="D35" s="42">
        <v>200000</v>
      </c>
      <c r="E35" s="41" t="s">
        <v>562</v>
      </c>
    </row>
    <row r="36" spans="4:17">
      <c r="D36" s="42">
        <v>1000000</v>
      </c>
      <c r="E36" s="41" t="s">
        <v>576</v>
      </c>
    </row>
    <row r="37" spans="4:17">
      <c r="D37" s="7">
        <v>600000</v>
      </c>
      <c r="E37" s="41" t="s">
        <v>581</v>
      </c>
    </row>
    <row r="38" spans="4:17">
      <c r="D38" s="7">
        <v>-40000</v>
      </c>
      <c r="E38" s="41" t="s">
        <v>586</v>
      </c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6937302</v>
      </c>
      <c r="E42" t="s">
        <v>6</v>
      </c>
    </row>
    <row r="43" spans="4:17">
      <c r="D43" s="7"/>
      <c r="E43" s="41"/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7" workbookViewId="0">
      <selection activeCell="E31" sqref="E31"/>
    </sheetView>
  </sheetViews>
  <sheetFormatPr defaultRowHeight="15"/>
  <cols>
    <col min="2" max="3" width="15.140625" bestFit="1" customWidth="1"/>
    <col min="4" max="4" width="15.85546875" bestFit="1" customWidth="1"/>
    <col min="5" max="5" width="47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587</v>
      </c>
      <c r="B2" s="3">
        <f>'خرداد 96'!B24</f>
        <v>39456327</v>
      </c>
      <c r="C2" s="1">
        <f>'خرداد 96'!C24</f>
        <v>11783464</v>
      </c>
      <c r="D2" s="3">
        <f>B2-C2</f>
        <v>27672863</v>
      </c>
      <c r="E2" s="2" t="s">
        <v>59</v>
      </c>
      <c r="F2">
        <v>31</v>
      </c>
      <c r="G2">
        <f>B2*F2</f>
        <v>1223146137</v>
      </c>
      <c r="H2">
        <f>C2*F2</f>
        <v>365287384</v>
      </c>
      <c r="I2">
        <f>D2*F2</f>
        <v>857858753</v>
      </c>
      <c r="O2">
        <v>1</v>
      </c>
      <c r="P2">
        <v>30</v>
      </c>
      <c r="Q2">
        <v>31</v>
      </c>
    </row>
    <row r="3" spans="1:17">
      <c r="A3" s="20" t="s">
        <v>584</v>
      </c>
      <c r="B3" s="39">
        <v>95521</v>
      </c>
      <c r="C3" s="39">
        <v>110054</v>
      </c>
      <c r="D3" s="35">
        <f t="shared" ref="D3:D22" si="0">B3-C3</f>
        <v>-14533</v>
      </c>
      <c r="E3" s="23" t="s">
        <v>588</v>
      </c>
      <c r="F3">
        <v>30</v>
      </c>
      <c r="G3">
        <f t="shared" ref="G3:G23" si="1">B3*F3</f>
        <v>2865630</v>
      </c>
      <c r="H3">
        <f t="shared" ref="H3:H23" si="2">C3*F3</f>
        <v>3301620</v>
      </c>
      <c r="I3">
        <f t="shared" ref="I3:I23" si="3">D3*F3</f>
        <v>-435990</v>
      </c>
      <c r="O3">
        <v>2</v>
      </c>
      <c r="P3">
        <v>29</v>
      </c>
      <c r="Q3">
        <v>30</v>
      </c>
    </row>
    <row r="4" spans="1:17">
      <c r="A4" s="20" t="s">
        <v>595</v>
      </c>
      <c r="B4" s="18">
        <v>2000000</v>
      </c>
      <c r="C4" s="18">
        <v>0</v>
      </c>
      <c r="D4" s="3">
        <f t="shared" si="0"/>
        <v>2000000</v>
      </c>
      <c r="E4" s="20" t="s">
        <v>596</v>
      </c>
      <c r="F4">
        <v>26</v>
      </c>
      <c r="G4">
        <f t="shared" si="1"/>
        <v>52000000</v>
      </c>
      <c r="H4">
        <f t="shared" si="2"/>
        <v>0</v>
      </c>
      <c r="I4">
        <f t="shared" si="3"/>
        <v>52000000</v>
      </c>
      <c r="O4">
        <v>3</v>
      </c>
      <c r="P4">
        <v>28</v>
      </c>
      <c r="Q4">
        <v>29</v>
      </c>
    </row>
    <row r="5" spans="1:17">
      <c r="A5" s="30" t="s">
        <v>623</v>
      </c>
      <c r="B5" s="18">
        <v>2600000</v>
      </c>
      <c r="C5" s="18">
        <v>0</v>
      </c>
      <c r="D5" s="3">
        <f t="shared" si="0"/>
        <v>2600000</v>
      </c>
      <c r="E5" s="20" t="s">
        <v>624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44151848</v>
      </c>
      <c r="C24" s="3">
        <f>SUM(C2:C22)</f>
        <v>11893518</v>
      </c>
      <c r="D24" s="3">
        <f>SUM(D2:D22)</f>
        <v>32258330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1278011767</v>
      </c>
      <c r="H25" s="18">
        <f>SUM(H2:H23)</f>
        <v>368589004</v>
      </c>
      <c r="I25" s="18">
        <f>SUM(I2:I23)</f>
        <v>909422763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6937302</v>
      </c>
      <c r="E30" s="41" t="s">
        <v>95</v>
      </c>
      <c r="G30" s="18">
        <v>384551</v>
      </c>
      <c r="H30" s="18">
        <f>G30*H25/G25</f>
        <v>110907.64086619244</v>
      </c>
      <c r="I30" s="18">
        <f>G30*I25/G25</f>
        <v>273643.35913380759</v>
      </c>
      <c r="O30">
        <v>29</v>
      </c>
      <c r="P30">
        <v>2</v>
      </c>
      <c r="Q30">
        <v>3</v>
      </c>
    </row>
    <row r="31" spans="1:17">
      <c r="D31" s="42">
        <v>1342800</v>
      </c>
      <c r="E31" s="54" t="s">
        <v>594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-44000</v>
      </c>
      <c r="E32" s="41" t="s">
        <v>597</v>
      </c>
      <c r="O32">
        <v>31</v>
      </c>
      <c r="P32">
        <v>0</v>
      </c>
      <c r="Q32">
        <v>1</v>
      </c>
    </row>
    <row r="33" spans="4:17">
      <c r="D33" s="42">
        <v>-25000</v>
      </c>
      <c r="E33" s="41" t="s">
        <v>604</v>
      </c>
      <c r="P33" t="s">
        <v>60</v>
      </c>
      <c r="Q33" t="s">
        <v>61</v>
      </c>
    </row>
    <row r="34" spans="4:17">
      <c r="D34" s="42">
        <v>-13000</v>
      </c>
      <c r="E34" s="41" t="s">
        <v>614</v>
      </c>
    </row>
    <row r="35" spans="4:17">
      <c r="D35" s="42">
        <v>200000</v>
      </c>
      <c r="E35" s="41" t="s">
        <v>618</v>
      </c>
    </row>
    <row r="36" spans="4:17">
      <c r="D36" s="42">
        <v>-120000</v>
      </c>
      <c r="E36" s="41" t="s">
        <v>619</v>
      </c>
    </row>
    <row r="37" spans="4:17">
      <c r="D37" s="7">
        <v>200000</v>
      </c>
      <c r="E37" s="41" t="s">
        <v>620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8478102</v>
      </c>
      <c r="E42" t="s">
        <v>6</v>
      </c>
    </row>
    <row r="43" spans="4:17">
      <c r="D43" s="7"/>
      <c r="E43" s="41"/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10" workbookViewId="0">
      <selection activeCell="E39" sqref="E39"/>
    </sheetView>
  </sheetViews>
  <sheetFormatPr defaultRowHeight="15"/>
  <cols>
    <col min="1" max="1" width="9.7109375" bestFit="1" customWidth="1"/>
    <col min="2" max="4" width="15.140625" bestFit="1" customWidth="1"/>
    <col min="5" max="5" width="39.140625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623</v>
      </c>
      <c r="B2" s="3">
        <f>'تیر 96'!B24</f>
        <v>44151848</v>
      </c>
      <c r="C2" s="1">
        <f>'تیر 96'!C24</f>
        <v>11893518</v>
      </c>
      <c r="D2" s="3">
        <f>B2-C2</f>
        <v>32258330</v>
      </c>
      <c r="E2" s="2" t="s">
        <v>59</v>
      </c>
      <c r="F2">
        <v>31</v>
      </c>
      <c r="G2">
        <f>B2*F2</f>
        <v>1368707288</v>
      </c>
      <c r="H2">
        <f>C2*F2</f>
        <v>368699058</v>
      </c>
      <c r="I2">
        <f>D2*F2</f>
        <v>1000008230</v>
      </c>
      <c r="O2">
        <v>1</v>
      </c>
      <c r="P2">
        <v>30</v>
      </c>
      <c r="Q2">
        <v>31</v>
      </c>
    </row>
    <row r="3" spans="1:17">
      <c r="A3" s="20" t="s">
        <v>627</v>
      </c>
      <c r="B3" s="39">
        <v>384551</v>
      </c>
      <c r="C3" s="39">
        <v>110908</v>
      </c>
      <c r="D3" s="3">
        <f t="shared" ref="D3:D22" si="0">B3-C3</f>
        <v>273643</v>
      </c>
      <c r="E3" s="23" t="s">
        <v>628</v>
      </c>
      <c r="F3">
        <v>30</v>
      </c>
      <c r="G3">
        <f t="shared" ref="G3:G23" si="1">B3*F3</f>
        <v>11536530</v>
      </c>
      <c r="H3">
        <f t="shared" ref="H3:H23" si="2">C3*F3</f>
        <v>3327240</v>
      </c>
      <c r="I3">
        <f t="shared" ref="I3:I23" si="3">D3*F3</f>
        <v>8209290</v>
      </c>
      <c r="O3">
        <v>2</v>
      </c>
      <c r="P3">
        <v>29</v>
      </c>
      <c r="Q3">
        <v>30</v>
      </c>
    </row>
    <row r="4" spans="1:17">
      <c r="A4" s="20" t="s">
        <v>636</v>
      </c>
      <c r="B4" s="18">
        <v>0</v>
      </c>
      <c r="C4" s="18">
        <v>800000</v>
      </c>
      <c r="D4" s="3">
        <f t="shared" si="0"/>
        <v>-800000</v>
      </c>
      <c r="E4" s="11" t="s">
        <v>637</v>
      </c>
      <c r="F4">
        <v>29</v>
      </c>
      <c r="G4">
        <f t="shared" si="1"/>
        <v>0</v>
      </c>
      <c r="H4">
        <f t="shared" si="2"/>
        <v>23200000</v>
      </c>
      <c r="I4">
        <f t="shared" si="3"/>
        <v>-23200000</v>
      </c>
      <c r="O4">
        <v>3</v>
      </c>
      <c r="P4">
        <v>28</v>
      </c>
      <c r="Q4">
        <v>29</v>
      </c>
    </row>
    <row r="5" spans="1:17">
      <c r="A5" s="30" t="s">
        <v>654</v>
      </c>
      <c r="B5" s="18">
        <v>-3000000</v>
      </c>
      <c r="C5" s="18">
        <v>0</v>
      </c>
      <c r="D5" s="3">
        <f t="shared" si="0"/>
        <v>-3000000</v>
      </c>
      <c r="E5" s="20" t="s">
        <v>656</v>
      </c>
      <c r="F5">
        <v>16</v>
      </c>
      <c r="G5">
        <f t="shared" si="1"/>
        <v>-48000000</v>
      </c>
      <c r="H5">
        <f t="shared" si="2"/>
        <v>0</v>
      </c>
      <c r="I5">
        <f t="shared" si="3"/>
        <v>-48000000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41536399</v>
      </c>
      <c r="C24" s="3">
        <f>SUM(C2:C22)</f>
        <v>12804426</v>
      </c>
      <c r="D24" s="3">
        <f>SUM(D2:D22)</f>
        <v>28731973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1332243818</v>
      </c>
      <c r="H25" s="18">
        <f>SUM(H2:H23)</f>
        <v>395226298</v>
      </c>
      <c r="I25" s="18">
        <f>SUM(I2:I23)</f>
        <v>937017520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8478102</v>
      </c>
      <c r="E30" s="41" t="s">
        <v>95</v>
      </c>
      <c r="G30" s="18">
        <v>400710</v>
      </c>
      <c r="H30" s="18">
        <f>G30*H25/G25</f>
        <v>118875.48490135309</v>
      </c>
      <c r="I30" s="18">
        <f>G30*I25/G25</f>
        <v>281834.51509864692</v>
      </c>
      <c r="O30">
        <v>29</v>
      </c>
      <c r="P30">
        <v>2</v>
      </c>
      <c r="Q30">
        <v>3</v>
      </c>
    </row>
    <row r="31" spans="1:17" ht="33" customHeight="1">
      <c r="D31" s="42">
        <v>-65000</v>
      </c>
      <c r="E31" s="54" t="s">
        <v>635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-28000</v>
      </c>
      <c r="E32" s="41" t="s">
        <v>643</v>
      </c>
      <c r="O32">
        <v>31</v>
      </c>
      <c r="P32">
        <v>0</v>
      </c>
      <c r="Q32">
        <v>1</v>
      </c>
    </row>
    <row r="33" spans="4:17">
      <c r="D33" s="42">
        <v>100000</v>
      </c>
      <c r="E33" s="41" t="s">
        <v>644</v>
      </c>
      <c r="P33" t="s">
        <v>60</v>
      </c>
      <c r="Q33" t="s">
        <v>61</v>
      </c>
    </row>
    <row r="34" spans="4:17">
      <c r="D34" s="42">
        <v>200000</v>
      </c>
      <c r="E34" s="41" t="s">
        <v>646</v>
      </c>
    </row>
    <row r="35" spans="4:17">
      <c r="D35" s="42">
        <v>27470</v>
      </c>
      <c r="E35" s="41" t="s">
        <v>653</v>
      </c>
    </row>
    <row r="36" spans="4:17">
      <c r="D36" s="42">
        <v>334000</v>
      </c>
      <c r="E36" s="41" t="s">
        <v>660</v>
      </c>
    </row>
    <row r="37" spans="4:17">
      <c r="D37" s="7">
        <v>400000</v>
      </c>
      <c r="E37" s="41" t="s">
        <v>666</v>
      </c>
    </row>
    <row r="38" spans="4:17">
      <c r="D38" s="7">
        <v>200000</v>
      </c>
      <c r="E38" s="41" t="s">
        <v>671</v>
      </c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9646572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C2" sqref="C2"/>
    </sheetView>
  </sheetViews>
  <sheetFormatPr defaultRowHeight="15"/>
  <cols>
    <col min="1" max="1" width="9.7109375" bestFit="1" customWidth="1"/>
    <col min="2" max="4" width="15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674</v>
      </c>
      <c r="B2" s="3">
        <f>'مرداد 96'!B24</f>
        <v>41536399</v>
      </c>
      <c r="C2" s="1">
        <f>'مرداد 96'!C24</f>
        <v>12804426</v>
      </c>
      <c r="D2" s="3">
        <f>B2-C2</f>
        <v>28731973</v>
      </c>
      <c r="E2" s="2" t="s">
        <v>59</v>
      </c>
      <c r="F2">
        <v>31</v>
      </c>
      <c r="G2">
        <f>B2*F2</f>
        <v>1287628369</v>
      </c>
      <c r="H2">
        <f>C2*F2</f>
        <v>396937206</v>
      </c>
      <c r="I2">
        <f>D2*F2</f>
        <v>890691163</v>
      </c>
      <c r="O2">
        <v>1</v>
      </c>
      <c r="P2">
        <v>30</v>
      </c>
      <c r="Q2">
        <v>31</v>
      </c>
    </row>
    <row r="3" spans="1:17">
      <c r="A3" s="20" t="s">
        <v>630</v>
      </c>
      <c r="B3" s="39">
        <v>400710</v>
      </c>
      <c r="C3" s="39">
        <v>118875</v>
      </c>
      <c r="D3" s="3">
        <f t="shared" ref="D3:D22" si="0">B3-C3</f>
        <v>281835</v>
      </c>
      <c r="E3" s="23" t="s">
        <v>670</v>
      </c>
      <c r="F3">
        <v>30</v>
      </c>
      <c r="G3">
        <f t="shared" ref="G3:G23" si="1">B3*F3</f>
        <v>12021300</v>
      </c>
      <c r="H3">
        <f t="shared" ref="H3:H23" si="2">C3*F3</f>
        <v>3566250</v>
      </c>
      <c r="I3">
        <f t="shared" ref="I3:I23" si="3">D3*F3</f>
        <v>8455050</v>
      </c>
      <c r="O3">
        <v>2</v>
      </c>
      <c r="P3">
        <v>29</v>
      </c>
      <c r="Q3">
        <v>30</v>
      </c>
    </row>
    <row r="4" spans="1:17">
      <c r="A4" s="20" t="s">
        <v>630</v>
      </c>
      <c r="B4" s="18">
        <v>42000000</v>
      </c>
      <c r="C4" s="18">
        <v>0</v>
      </c>
      <c r="D4" s="3">
        <f t="shared" si="0"/>
        <v>42000000</v>
      </c>
      <c r="E4" s="11" t="s">
        <v>497</v>
      </c>
      <c r="F4">
        <v>30</v>
      </c>
      <c r="G4">
        <f t="shared" si="1"/>
        <v>1260000000</v>
      </c>
      <c r="H4">
        <f t="shared" si="2"/>
        <v>0</v>
      </c>
      <c r="I4">
        <f t="shared" si="3"/>
        <v>1260000000</v>
      </c>
      <c r="O4">
        <v>3</v>
      </c>
      <c r="P4">
        <v>28</v>
      </c>
      <c r="Q4">
        <v>29</v>
      </c>
    </row>
    <row r="5" spans="1:17">
      <c r="A5" s="30" t="s">
        <v>694</v>
      </c>
      <c r="B5" s="18">
        <v>-5000</v>
      </c>
      <c r="C5" s="18">
        <v>0</v>
      </c>
      <c r="D5" s="3">
        <f t="shared" si="0"/>
        <v>-5000</v>
      </c>
      <c r="E5" s="20" t="s">
        <v>158</v>
      </c>
      <c r="F5">
        <v>6</v>
      </c>
      <c r="G5">
        <f t="shared" si="1"/>
        <v>-30000</v>
      </c>
      <c r="H5">
        <f t="shared" si="2"/>
        <v>0</v>
      </c>
      <c r="I5">
        <f t="shared" si="3"/>
        <v>-30000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83932109</v>
      </c>
      <c r="C24" s="3">
        <f>SUM(C2:C22)</f>
        <v>12923301</v>
      </c>
      <c r="D24" s="3">
        <f>SUM(D2:D22)</f>
        <v>71008808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2559619669</v>
      </c>
      <c r="H25" s="18">
        <f>SUM(H2:H23)</f>
        <v>400503456</v>
      </c>
      <c r="I25" s="18">
        <f>SUM(I2:I23)</f>
        <v>2159116213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9646572</v>
      </c>
      <c r="E30" s="41" t="s">
        <v>95</v>
      </c>
      <c r="G30" s="18">
        <v>771374</v>
      </c>
      <c r="H30" s="18">
        <f>G30*H25/G25</f>
        <v>120696.81937912316</v>
      </c>
      <c r="I30" s="18">
        <f>G30*I25/G25</f>
        <v>650677.18062087684</v>
      </c>
      <c r="O30">
        <v>29</v>
      </c>
      <c r="P30">
        <v>2</v>
      </c>
      <c r="Q30">
        <v>3</v>
      </c>
    </row>
    <row r="31" spans="1:17" ht="33" customHeight="1">
      <c r="D31" s="42">
        <v>-3000000</v>
      </c>
      <c r="E31" s="54" t="s">
        <v>673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200000</v>
      </c>
      <c r="E32" s="41" t="s">
        <v>678</v>
      </c>
      <c r="O32">
        <v>31</v>
      </c>
      <c r="P32">
        <v>0</v>
      </c>
      <c r="Q32">
        <v>1</v>
      </c>
    </row>
    <row r="33" spans="4:17">
      <c r="D33" s="42">
        <v>2200700</v>
      </c>
      <c r="E33" s="41" t="s">
        <v>682</v>
      </c>
      <c r="P33" t="s">
        <v>60</v>
      </c>
      <c r="Q33" t="s">
        <v>61</v>
      </c>
    </row>
    <row r="34" spans="4:17">
      <c r="D34" s="42">
        <v>-2000000</v>
      </c>
      <c r="E34" s="41" t="s">
        <v>689</v>
      </c>
    </row>
    <row r="35" spans="4:17">
      <c r="D35" s="42">
        <v>141950</v>
      </c>
      <c r="E35" s="41" t="s">
        <v>690</v>
      </c>
    </row>
    <row r="36" spans="4:17">
      <c r="D36" s="42">
        <v>800500</v>
      </c>
      <c r="E36" s="41" t="s">
        <v>693</v>
      </c>
    </row>
    <row r="37" spans="4:17">
      <c r="D37" s="7">
        <v>-100000</v>
      </c>
      <c r="E37" s="41" t="s">
        <v>697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7889722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/>
  <cols>
    <col min="1" max="1" width="9.7109375" bestFit="1" customWidth="1"/>
    <col min="2" max="2" width="16.140625" bestFit="1" customWidth="1"/>
    <col min="3" max="3" width="15.140625" bestFit="1" customWidth="1"/>
    <col min="4" max="4" width="16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674</v>
      </c>
      <c r="B2" s="3">
        <f>'شهریور 96'!B24</f>
        <v>83932109</v>
      </c>
      <c r="C2" s="1">
        <f>'شهریور 96'!C24</f>
        <v>12923301</v>
      </c>
      <c r="D2" s="3">
        <f>B2-C2</f>
        <v>71008808</v>
      </c>
      <c r="E2" s="2" t="s">
        <v>59</v>
      </c>
      <c r="F2">
        <v>30</v>
      </c>
      <c r="G2">
        <f>B2*F2</f>
        <v>2517963270</v>
      </c>
      <c r="H2">
        <f>C2*F2</f>
        <v>387699030</v>
      </c>
      <c r="I2">
        <f>D2*F2</f>
        <v>2130264240</v>
      </c>
    </row>
    <row r="3" spans="1:17">
      <c r="A3" s="20" t="s">
        <v>631</v>
      </c>
      <c r="B3" s="39">
        <v>771374</v>
      </c>
      <c r="C3" s="39">
        <v>120697</v>
      </c>
      <c r="D3" s="3">
        <f t="shared" ref="D3:D22" si="0">B3-C3</f>
        <v>650677</v>
      </c>
      <c r="E3" s="23" t="s">
        <v>695</v>
      </c>
      <c r="F3">
        <v>29</v>
      </c>
      <c r="G3">
        <f t="shared" ref="G3:G23" si="1">B3*F3</f>
        <v>22369846</v>
      </c>
      <c r="H3">
        <f t="shared" ref="H3:H23" si="2">C3*F3</f>
        <v>3500213</v>
      </c>
      <c r="I3">
        <f t="shared" ref="I3:I23" si="3">D3*F3</f>
        <v>18869633</v>
      </c>
    </row>
    <row r="4" spans="1:17">
      <c r="A4" s="20" t="s">
        <v>706</v>
      </c>
      <c r="B4" s="18">
        <v>2500000</v>
      </c>
      <c r="C4" s="18">
        <v>0</v>
      </c>
      <c r="D4" s="3">
        <f t="shared" si="0"/>
        <v>2500000</v>
      </c>
      <c r="E4" s="11" t="s">
        <v>707</v>
      </c>
      <c r="F4">
        <v>26</v>
      </c>
      <c r="G4">
        <f t="shared" si="1"/>
        <v>65000000</v>
      </c>
      <c r="H4">
        <f t="shared" si="2"/>
        <v>0</v>
      </c>
      <c r="I4">
        <f t="shared" si="3"/>
        <v>65000000</v>
      </c>
      <c r="O4">
        <v>1</v>
      </c>
      <c r="P4">
        <v>29</v>
      </c>
      <c r="Q4">
        <v>30</v>
      </c>
    </row>
    <row r="5" spans="1:17">
      <c r="A5" s="30" t="s">
        <v>720</v>
      </c>
      <c r="B5" s="18">
        <v>-1000000</v>
      </c>
      <c r="C5" s="18">
        <v>-1000000</v>
      </c>
      <c r="D5" s="3">
        <f t="shared" si="0"/>
        <v>0</v>
      </c>
      <c r="E5" s="20" t="s">
        <v>740</v>
      </c>
      <c r="F5">
        <v>13</v>
      </c>
      <c r="G5">
        <f t="shared" si="1"/>
        <v>-13000000</v>
      </c>
      <c r="H5">
        <f t="shared" si="2"/>
        <v>-13000000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723</v>
      </c>
      <c r="B6" s="18">
        <v>-50000000</v>
      </c>
      <c r="C6" s="18">
        <v>0</v>
      </c>
      <c r="D6" s="3">
        <f t="shared" si="0"/>
        <v>-50000000</v>
      </c>
      <c r="E6" s="19" t="s">
        <v>724</v>
      </c>
      <c r="F6">
        <v>8</v>
      </c>
      <c r="G6">
        <f t="shared" si="1"/>
        <v>-400000000</v>
      </c>
      <c r="H6">
        <f t="shared" si="2"/>
        <v>0</v>
      </c>
      <c r="I6">
        <f t="shared" si="3"/>
        <v>-400000000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36203483</v>
      </c>
      <c r="C24" s="3">
        <f>SUM(C2:C22)</f>
        <v>12043998</v>
      </c>
      <c r="D24" s="3">
        <f>SUM(D2:D22)</f>
        <v>24159485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2192333116</v>
      </c>
      <c r="H25" s="18">
        <f>SUM(H2:H23)</f>
        <v>378199243</v>
      </c>
      <c r="I25" s="18">
        <f>SUM(I2:I23)</f>
        <v>1814133873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7889722</v>
      </c>
      <c r="E30" s="41" t="s">
        <v>95</v>
      </c>
      <c r="G30" s="18">
        <v>614287</v>
      </c>
      <c r="H30" s="18">
        <f>G30*H25/G25</f>
        <v>105970.61034621575</v>
      </c>
      <c r="I30" s="18">
        <f>G30*I25/G25</f>
        <v>508316.38965378428</v>
      </c>
      <c r="O30">
        <v>27</v>
      </c>
      <c r="P30">
        <v>3</v>
      </c>
      <c r="Q30">
        <v>4</v>
      </c>
    </row>
    <row r="31" spans="1:17" ht="43.5" customHeight="1">
      <c r="D31" s="42">
        <v>-30000</v>
      </c>
      <c r="E31" s="54" t="s">
        <v>700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-10000</v>
      </c>
      <c r="E32" s="41" t="s">
        <v>725</v>
      </c>
      <c r="O32">
        <v>29</v>
      </c>
      <c r="P32">
        <v>1</v>
      </c>
      <c r="Q32">
        <v>2</v>
      </c>
    </row>
    <row r="33" spans="4:17">
      <c r="D33" s="42">
        <v>0</v>
      </c>
      <c r="E33" s="41" t="s">
        <v>682</v>
      </c>
      <c r="O33">
        <v>30</v>
      </c>
      <c r="P33">
        <v>0</v>
      </c>
      <c r="Q33">
        <v>1</v>
      </c>
    </row>
    <row r="34" spans="4:17">
      <c r="D34" s="42">
        <v>0</v>
      </c>
      <c r="E34" s="41" t="s">
        <v>689</v>
      </c>
      <c r="P34" t="s">
        <v>60</v>
      </c>
      <c r="Q34" t="s">
        <v>61</v>
      </c>
    </row>
    <row r="35" spans="4:17">
      <c r="D35" s="42">
        <v>0</v>
      </c>
      <c r="E35" s="41" t="s">
        <v>690</v>
      </c>
    </row>
    <row r="36" spans="4:17">
      <c r="D36" s="42">
        <v>0</v>
      </c>
      <c r="E36" s="41" t="s">
        <v>693</v>
      </c>
    </row>
    <row r="37" spans="4:17">
      <c r="D37" s="7">
        <v>0</v>
      </c>
      <c r="E37" s="41" t="s">
        <v>697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7849722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/>
  <cols>
    <col min="1" max="1" width="9.7109375" bestFit="1" customWidth="1"/>
    <col min="2" max="2" width="15.85546875" bestFit="1" customWidth="1"/>
    <col min="3" max="3" width="15.140625" bestFit="1" customWidth="1"/>
    <col min="4" max="4" width="15.85546875" bestFit="1" customWidth="1"/>
    <col min="5" max="5" width="44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734</v>
      </c>
      <c r="B2" s="3">
        <f>مهر96!B24</f>
        <v>36203483</v>
      </c>
      <c r="C2" s="1">
        <f>مهر96!C24</f>
        <v>12043998</v>
      </c>
      <c r="D2" s="3">
        <f>B2-C2</f>
        <v>24159485</v>
      </c>
      <c r="E2" s="2" t="s">
        <v>59</v>
      </c>
      <c r="F2">
        <v>30</v>
      </c>
      <c r="G2">
        <f>B2*F2</f>
        <v>1086104490</v>
      </c>
      <c r="H2">
        <f>C2*F2</f>
        <v>361319940</v>
      </c>
      <c r="I2">
        <f>D2*F2</f>
        <v>724784550</v>
      </c>
    </row>
    <row r="3" spans="1:17">
      <c r="A3" s="20" t="s">
        <v>632</v>
      </c>
      <c r="B3" s="39">
        <v>614287</v>
      </c>
      <c r="C3" s="39">
        <v>105971</v>
      </c>
      <c r="D3" s="3">
        <f t="shared" ref="D3:D22" si="0">B3-C3</f>
        <v>508316</v>
      </c>
      <c r="E3" s="23" t="s">
        <v>739</v>
      </c>
      <c r="F3">
        <v>29</v>
      </c>
      <c r="G3">
        <f t="shared" ref="G3:G23" si="1">B3*F3</f>
        <v>17814323</v>
      </c>
      <c r="H3">
        <f t="shared" ref="H3:H23" si="2">C3*F3</f>
        <v>3073159</v>
      </c>
      <c r="I3">
        <f t="shared" ref="I3:I23" si="3">D3*F3</f>
        <v>14741164</v>
      </c>
    </row>
    <row r="4" spans="1:17">
      <c r="A4" s="20" t="s">
        <v>748</v>
      </c>
      <c r="B4" s="18">
        <v>-1210700</v>
      </c>
      <c r="C4" s="18">
        <v>0</v>
      </c>
      <c r="D4" s="3">
        <f t="shared" si="0"/>
        <v>-1210700</v>
      </c>
      <c r="E4" s="11" t="s">
        <v>749</v>
      </c>
      <c r="F4">
        <v>26</v>
      </c>
      <c r="G4">
        <f t="shared" si="1"/>
        <v>-31478200</v>
      </c>
      <c r="H4">
        <f t="shared" si="2"/>
        <v>0</v>
      </c>
      <c r="I4">
        <f t="shared" si="3"/>
        <v>-31478200</v>
      </c>
      <c r="O4">
        <v>1</v>
      </c>
      <c r="P4">
        <v>29</v>
      </c>
      <c r="Q4">
        <v>30</v>
      </c>
    </row>
    <row r="5" spans="1:17">
      <c r="A5" s="30" t="s">
        <v>762</v>
      </c>
      <c r="B5" s="18">
        <v>-97300</v>
      </c>
      <c r="C5" s="18">
        <v>0</v>
      </c>
      <c r="D5" s="3">
        <f t="shared" si="0"/>
        <v>-97300</v>
      </c>
      <c r="E5" s="20" t="s">
        <v>767</v>
      </c>
      <c r="F5">
        <v>17</v>
      </c>
      <c r="G5">
        <f t="shared" si="1"/>
        <v>-1654100</v>
      </c>
      <c r="H5">
        <f t="shared" si="2"/>
        <v>0</v>
      </c>
      <c r="I5">
        <f t="shared" si="3"/>
        <v>-1654100</v>
      </c>
      <c r="O5">
        <v>2</v>
      </c>
      <c r="P5">
        <v>28</v>
      </c>
      <c r="Q5">
        <v>29</v>
      </c>
    </row>
    <row r="6" spans="1:17">
      <c r="A6" s="17" t="s">
        <v>773</v>
      </c>
      <c r="B6" s="18">
        <v>-1000000</v>
      </c>
      <c r="C6" s="18">
        <v>-1000000</v>
      </c>
      <c r="D6" s="3">
        <f t="shared" si="0"/>
        <v>0</v>
      </c>
      <c r="E6" s="19" t="s">
        <v>774</v>
      </c>
      <c r="F6">
        <v>9</v>
      </c>
      <c r="G6">
        <f t="shared" si="1"/>
        <v>-9000000</v>
      </c>
      <c r="H6">
        <f t="shared" si="2"/>
        <v>-9000000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34509770</v>
      </c>
      <c r="C24" s="3">
        <f>SUM(C2:C22)</f>
        <v>11149969</v>
      </c>
      <c r="D24" s="3">
        <f>SUM(D2:D22)</f>
        <v>23359801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1061786513</v>
      </c>
      <c r="H25" s="18">
        <f>SUM(H2:H23)</f>
        <v>355393099</v>
      </c>
      <c r="I25" s="18">
        <f>SUM(I2:I23)</f>
        <v>706393414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7849722</v>
      </c>
      <c r="E30" s="41" t="s">
        <v>95</v>
      </c>
      <c r="G30" s="18">
        <v>290873</v>
      </c>
      <c r="H30" s="18">
        <f>G30*H25/G25</f>
        <v>97358.796349136712</v>
      </c>
      <c r="I30" s="18">
        <f>G30*I25/G25</f>
        <v>193514.20365086329</v>
      </c>
      <c r="O30">
        <v>27</v>
      </c>
      <c r="P30">
        <v>3</v>
      </c>
      <c r="Q30">
        <v>4</v>
      </c>
    </row>
    <row r="31" spans="1:17">
      <c r="D31" s="42">
        <v>-170000</v>
      </c>
      <c r="E31" s="54" t="s">
        <v>750</v>
      </c>
      <c r="G31" s="9" t="s">
        <v>777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295200</v>
      </c>
      <c r="E32" s="41" t="s">
        <v>757</v>
      </c>
      <c r="O32">
        <v>29</v>
      </c>
      <c r="P32">
        <v>1</v>
      </c>
      <c r="Q32">
        <v>2</v>
      </c>
    </row>
    <row r="33" spans="4:17">
      <c r="D33" s="42">
        <v>-30000</v>
      </c>
      <c r="E33" s="41" t="s">
        <v>768</v>
      </c>
      <c r="O33">
        <v>30</v>
      </c>
      <c r="P33">
        <v>0</v>
      </c>
      <c r="Q33">
        <v>1</v>
      </c>
    </row>
    <row r="34" spans="4:17">
      <c r="D34" s="42">
        <v>-100000</v>
      </c>
      <c r="E34" s="41" t="s">
        <v>770</v>
      </c>
      <c r="P34" t="s">
        <v>60</v>
      </c>
      <c r="Q34" t="s">
        <v>61</v>
      </c>
    </row>
    <row r="35" spans="4:17">
      <c r="D35" s="42">
        <v>-50000</v>
      </c>
      <c r="E35" s="41" t="s">
        <v>775</v>
      </c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7794922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10" workbookViewId="0">
      <selection activeCell="B5" sqref="B5:E5"/>
    </sheetView>
  </sheetViews>
  <sheetFormatPr defaultRowHeight="15"/>
  <cols>
    <col min="1" max="1" width="9.7109375" bestFit="1" customWidth="1"/>
    <col min="2" max="4" width="15.140625" bestFit="1" customWidth="1"/>
    <col min="5" max="5" width="33.42578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779</v>
      </c>
      <c r="B2" s="3">
        <f>'آبان 96'!B24</f>
        <v>34509770</v>
      </c>
      <c r="C2" s="1">
        <f>'آبان 96'!C24</f>
        <v>11149969</v>
      </c>
      <c r="D2" s="3">
        <f>B2-C2</f>
        <v>23359801</v>
      </c>
      <c r="E2" s="2" t="s">
        <v>59</v>
      </c>
      <c r="F2">
        <v>30</v>
      </c>
      <c r="G2">
        <f>B2*F2</f>
        <v>1035293100</v>
      </c>
      <c r="H2">
        <f>C2*F2</f>
        <v>334499070</v>
      </c>
      <c r="I2">
        <f>D2*F2</f>
        <v>700794030</v>
      </c>
    </row>
    <row r="3" spans="1:17">
      <c r="A3" s="20" t="s">
        <v>633</v>
      </c>
      <c r="B3" s="39">
        <v>290900</v>
      </c>
      <c r="C3" s="39">
        <v>97359</v>
      </c>
      <c r="D3" s="3">
        <f t="shared" ref="D3:D22" si="0">B3-C3</f>
        <v>193541</v>
      </c>
      <c r="E3" s="23" t="s">
        <v>778</v>
      </c>
      <c r="F3">
        <v>29</v>
      </c>
      <c r="G3">
        <f t="shared" ref="G3:G23" si="1">B3*F3</f>
        <v>8436100</v>
      </c>
      <c r="H3">
        <f t="shared" ref="H3:H23" si="2">C3*F3</f>
        <v>2823411</v>
      </c>
      <c r="I3">
        <f t="shared" ref="I3:I23" si="3">D3*F3</f>
        <v>5612689</v>
      </c>
    </row>
    <row r="4" spans="1:17">
      <c r="A4" s="20" t="s">
        <v>800</v>
      </c>
      <c r="B4" s="18">
        <v>-1000500</v>
      </c>
      <c r="C4" s="18">
        <v>-1000500</v>
      </c>
      <c r="D4" s="3">
        <f t="shared" si="0"/>
        <v>0</v>
      </c>
      <c r="E4" s="11" t="s">
        <v>801</v>
      </c>
      <c r="F4">
        <v>13</v>
      </c>
      <c r="G4">
        <f t="shared" si="1"/>
        <v>-13006500</v>
      </c>
      <c r="H4">
        <f t="shared" si="2"/>
        <v>-13006500</v>
      </c>
      <c r="I4">
        <f t="shared" si="3"/>
        <v>0</v>
      </c>
      <c r="O4">
        <v>1</v>
      </c>
      <c r="P4">
        <v>29</v>
      </c>
      <c r="Q4">
        <v>30</v>
      </c>
    </row>
    <row r="5" spans="1:17">
      <c r="A5" s="30" t="s">
        <v>815</v>
      </c>
      <c r="B5" s="39">
        <v>282240</v>
      </c>
      <c r="C5" s="39">
        <v>88807</v>
      </c>
      <c r="D5" s="35">
        <f t="shared" si="0"/>
        <v>193433</v>
      </c>
      <c r="E5" s="23" t="s">
        <v>242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773</v>
      </c>
      <c r="B6" s="18">
        <v>0</v>
      </c>
      <c r="C6" s="18">
        <v>0</v>
      </c>
      <c r="D6" s="3">
        <f t="shared" si="0"/>
        <v>0</v>
      </c>
      <c r="E6" s="19"/>
      <c r="F6">
        <v>9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34082410</v>
      </c>
      <c r="C24" s="3">
        <f>SUM(C2:C22)</f>
        <v>10335635</v>
      </c>
      <c r="D24" s="3">
        <f>SUM(D2:D22)</f>
        <v>23746775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1030722700</v>
      </c>
      <c r="H25" s="18">
        <f>SUM(H2:H23)</f>
        <v>324315981</v>
      </c>
      <c r="I25" s="18">
        <f>SUM(I2:I23)</f>
        <v>706406719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7794922</v>
      </c>
      <c r="E30" s="41" t="s">
        <v>95</v>
      </c>
      <c r="G30" s="18">
        <v>282240</v>
      </c>
      <c r="H30" s="18">
        <f>G30*H25/G25</f>
        <v>88806.565022231487</v>
      </c>
      <c r="I30" s="18">
        <f>G30*I25/G25</f>
        <v>193433.43497776851</v>
      </c>
      <c r="O30">
        <v>27</v>
      </c>
      <c r="P30">
        <v>3</v>
      </c>
      <c r="Q30">
        <v>4</v>
      </c>
    </row>
    <row r="31" spans="1:17">
      <c r="D31" s="42">
        <v>-10000</v>
      </c>
      <c r="E31" s="54" t="s">
        <v>784</v>
      </c>
      <c r="G31" s="9" t="s">
        <v>240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-150000</v>
      </c>
      <c r="E32" s="41" t="s">
        <v>794</v>
      </c>
      <c r="O32">
        <v>29</v>
      </c>
      <c r="P32">
        <v>1</v>
      </c>
      <c r="Q32">
        <v>2</v>
      </c>
    </row>
    <row r="33" spans="4:17">
      <c r="D33" s="42">
        <v>-8000</v>
      </c>
      <c r="E33" s="41" t="s">
        <v>802</v>
      </c>
      <c r="O33">
        <v>30</v>
      </c>
      <c r="P33">
        <v>0</v>
      </c>
      <c r="Q33">
        <v>1</v>
      </c>
    </row>
    <row r="34" spans="4:17">
      <c r="D34" s="42">
        <v>-100000</v>
      </c>
      <c r="E34" s="41" t="s">
        <v>803</v>
      </c>
      <c r="P34" t="s">
        <v>60</v>
      </c>
      <c r="Q34" t="s">
        <v>61</v>
      </c>
    </row>
    <row r="35" spans="4:17">
      <c r="D35" s="42">
        <v>0</v>
      </c>
      <c r="E35" s="41"/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7526922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6" sqref="C6"/>
    </sheetView>
  </sheetViews>
  <sheetFormatPr defaultRowHeight="15"/>
  <cols>
    <col min="2" max="4" width="15.140625" bestFit="1" customWidth="1"/>
    <col min="5" max="5" width="26.2851562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815</v>
      </c>
      <c r="B2" s="3">
        <f>'آذر 96'!B24</f>
        <v>34082410</v>
      </c>
      <c r="C2" s="1">
        <f>'آذر 96'!C24</f>
        <v>10335635</v>
      </c>
      <c r="D2" s="3">
        <f>B2-C2</f>
        <v>23746775</v>
      </c>
      <c r="E2" s="2" t="s">
        <v>59</v>
      </c>
      <c r="F2">
        <v>30</v>
      </c>
      <c r="G2">
        <f>B2*F2</f>
        <v>1022472300</v>
      </c>
      <c r="H2">
        <f>C2*F2</f>
        <v>310069050</v>
      </c>
      <c r="I2">
        <f>D2*F2</f>
        <v>712403250</v>
      </c>
    </row>
    <row r="3" spans="1:17">
      <c r="A3" s="20" t="s">
        <v>820</v>
      </c>
      <c r="B3" s="18">
        <v>1500000</v>
      </c>
      <c r="C3" s="18">
        <v>0</v>
      </c>
      <c r="D3" s="43">
        <f t="shared" ref="D3:D22" si="0">B3-C3</f>
        <v>1500000</v>
      </c>
      <c r="E3" s="20" t="s">
        <v>821</v>
      </c>
      <c r="F3">
        <v>27</v>
      </c>
      <c r="G3">
        <f t="shared" ref="G3:G23" si="1">B3*F3</f>
        <v>40500000</v>
      </c>
      <c r="H3">
        <f t="shared" ref="H3:H23" si="2">C3*F3</f>
        <v>0</v>
      </c>
      <c r="I3">
        <f t="shared" ref="I3:I23" si="3">D3*F3</f>
        <v>40500000</v>
      </c>
    </row>
    <row r="4" spans="1:17">
      <c r="A4" s="20" t="s">
        <v>839</v>
      </c>
      <c r="B4" s="18">
        <v>0</v>
      </c>
      <c r="C4" s="18">
        <v>-1000000</v>
      </c>
      <c r="D4" s="3">
        <f t="shared" si="0"/>
        <v>1000000</v>
      </c>
      <c r="E4" s="11" t="s">
        <v>840</v>
      </c>
      <c r="F4">
        <v>14</v>
      </c>
      <c r="G4">
        <f t="shared" si="1"/>
        <v>0</v>
      </c>
      <c r="H4">
        <f t="shared" si="2"/>
        <v>-14000000</v>
      </c>
      <c r="I4">
        <f t="shared" si="3"/>
        <v>14000000</v>
      </c>
      <c r="O4">
        <v>1</v>
      </c>
      <c r="P4">
        <v>29</v>
      </c>
      <c r="Q4">
        <v>30</v>
      </c>
    </row>
    <row r="5" spans="1:17">
      <c r="A5" s="30" t="s">
        <v>854</v>
      </c>
      <c r="B5" s="39">
        <v>291225</v>
      </c>
      <c r="C5" s="39">
        <v>81022</v>
      </c>
      <c r="D5" s="35">
        <f t="shared" si="0"/>
        <v>210203</v>
      </c>
      <c r="E5" s="23" t="s">
        <v>264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773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35873635</v>
      </c>
      <c r="C24" s="3">
        <f>SUM(C2:C22)</f>
        <v>9416657</v>
      </c>
      <c r="D24" s="3">
        <f>SUM(D2:D22)</f>
        <v>26456978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1062972300</v>
      </c>
      <c r="H25" s="18">
        <f>SUM(H2:H23)</f>
        <v>296069050</v>
      </c>
      <c r="I25" s="18">
        <f>SUM(I2:I23)</f>
        <v>766903250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7526922</v>
      </c>
      <c r="E30" s="41" t="s">
        <v>95</v>
      </c>
      <c r="G30" s="18">
        <v>290893</v>
      </c>
      <c r="H30" s="18">
        <f>G30*H25/G25</f>
        <v>81022.256329398238</v>
      </c>
      <c r="I30" s="18">
        <f>G30*I25/G25</f>
        <v>209870.74367060178</v>
      </c>
      <c r="O30">
        <v>27</v>
      </c>
      <c r="P30">
        <v>3</v>
      </c>
      <c r="Q30">
        <v>4</v>
      </c>
    </row>
    <row r="31" spans="1:17">
      <c r="D31" s="42">
        <v>-20000</v>
      </c>
      <c r="E31" s="54" t="s">
        <v>828</v>
      </c>
      <c r="G31" s="9" t="s">
        <v>893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-4000</v>
      </c>
      <c r="E32" s="41" t="s">
        <v>829</v>
      </c>
      <c r="O32">
        <v>29</v>
      </c>
      <c r="P32">
        <v>1</v>
      </c>
      <c r="Q32">
        <v>2</v>
      </c>
    </row>
    <row r="33" spans="4:17">
      <c r="D33" s="42">
        <v>-112000</v>
      </c>
      <c r="E33" s="41" t="s">
        <v>835</v>
      </c>
      <c r="O33">
        <v>30</v>
      </c>
      <c r="P33">
        <v>0</v>
      </c>
      <c r="Q33">
        <v>1</v>
      </c>
    </row>
    <row r="34" spans="4:17">
      <c r="D34" s="42">
        <v>-9000</v>
      </c>
      <c r="E34" s="41" t="s">
        <v>837</v>
      </c>
      <c r="P34" t="s">
        <v>60</v>
      </c>
      <c r="Q34" t="s">
        <v>61</v>
      </c>
    </row>
    <row r="35" spans="4:17">
      <c r="D35" s="42">
        <v>-80000</v>
      </c>
      <c r="E35" s="41" t="s">
        <v>838</v>
      </c>
    </row>
    <row r="36" spans="4:17">
      <c r="D36" s="42">
        <v>-10000</v>
      </c>
      <c r="E36" s="41" t="s">
        <v>848</v>
      </c>
    </row>
    <row r="37" spans="4:17">
      <c r="D37" s="7">
        <v>-180000</v>
      </c>
      <c r="E37" s="41" t="s">
        <v>853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7111922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4"/>
  <sheetViews>
    <sheetView topLeftCell="A46" workbookViewId="0">
      <selection activeCell="D67" sqref="D67"/>
    </sheetView>
  </sheetViews>
  <sheetFormatPr defaultRowHeight="15"/>
  <cols>
    <col min="1" max="1" width="10.7109375" bestFit="1" customWidth="1"/>
    <col min="2" max="2" width="14.140625" bestFit="1" customWidth="1"/>
    <col min="3" max="3" width="27.28515625" bestFit="1" customWidth="1"/>
    <col min="4" max="4" width="10.28515625" bestFit="1" customWidth="1"/>
    <col min="5" max="5" width="17.85546875" bestFit="1" customWidth="1"/>
    <col min="6" max="6" width="12" bestFit="1" customWidth="1"/>
    <col min="7" max="7" width="15.85546875" bestFit="1" customWidth="1"/>
  </cols>
  <sheetData>
    <row r="1" spans="1:7" ht="31.5" customHeight="1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</row>
    <row r="2" spans="1:7">
      <c r="A2" s="11" t="s">
        <v>292</v>
      </c>
      <c r="B2" s="3">
        <v>50000</v>
      </c>
      <c r="C2" s="11" t="s">
        <v>1</v>
      </c>
      <c r="D2" s="11">
        <v>45</v>
      </c>
      <c r="E2" s="11">
        <f>E3+D2</f>
        <v>444</v>
      </c>
      <c r="F2" s="11">
        <f>IF(B2&gt;0,1,0)</f>
        <v>1</v>
      </c>
      <c r="G2" s="11">
        <f>B2*(E2-F2)</f>
        <v>22150000</v>
      </c>
    </row>
    <row r="3" spans="1:7">
      <c r="A3" s="11" t="s">
        <v>471</v>
      </c>
      <c r="B3" s="3">
        <v>673</v>
      </c>
      <c r="C3" s="11" t="s">
        <v>921</v>
      </c>
      <c r="D3" s="11">
        <v>32</v>
      </c>
      <c r="E3" s="11">
        <f t="shared" ref="E3:E45" si="0">E4+D3</f>
        <v>399</v>
      </c>
      <c r="F3" s="11">
        <f t="shared" ref="F3:F69" si="1">IF(B3&gt;0,1,0)</f>
        <v>1</v>
      </c>
      <c r="G3" s="11">
        <f t="shared" ref="G3:G69" si="2">B3*(E3-F3)</f>
        <v>267854</v>
      </c>
    </row>
    <row r="4" spans="1:7">
      <c r="A4" s="11" t="s">
        <v>509</v>
      </c>
      <c r="B4" s="3">
        <v>503</v>
      </c>
      <c r="C4" s="11" t="s">
        <v>921</v>
      </c>
      <c r="D4" s="11">
        <v>31</v>
      </c>
      <c r="E4" s="11">
        <f t="shared" si="0"/>
        <v>367</v>
      </c>
      <c r="F4" s="11">
        <f t="shared" si="1"/>
        <v>1</v>
      </c>
      <c r="G4" s="11">
        <f t="shared" si="2"/>
        <v>184098</v>
      </c>
    </row>
    <row r="5" spans="1:7">
      <c r="A5" s="11" t="s">
        <v>550</v>
      </c>
      <c r="B5" s="3">
        <v>478</v>
      </c>
      <c r="C5" s="11" t="s">
        <v>921</v>
      </c>
      <c r="D5" s="11">
        <v>31</v>
      </c>
      <c r="E5" s="11">
        <f t="shared" si="0"/>
        <v>336</v>
      </c>
      <c r="F5" s="11">
        <f t="shared" si="1"/>
        <v>1</v>
      </c>
      <c r="G5" s="11">
        <f t="shared" si="2"/>
        <v>160130</v>
      </c>
    </row>
    <row r="6" spans="1:7">
      <c r="A6" s="11" t="s">
        <v>584</v>
      </c>
      <c r="B6" s="3">
        <v>482</v>
      </c>
      <c r="C6" s="11" t="s">
        <v>921</v>
      </c>
      <c r="D6" s="11">
        <v>31</v>
      </c>
      <c r="E6" s="11">
        <f t="shared" si="0"/>
        <v>305</v>
      </c>
      <c r="F6" s="11">
        <f t="shared" si="1"/>
        <v>1</v>
      </c>
      <c r="G6" s="11">
        <f t="shared" si="2"/>
        <v>146528</v>
      </c>
    </row>
    <row r="7" spans="1:7">
      <c r="A7" s="11" t="s">
        <v>627</v>
      </c>
      <c r="B7" s="3">
        <v>487</v>
      </c>
      <c r="C7" s="11" t="s">
        <v>921</v>
      </c>
      <c r="D7" s="11">
        <v>31</v>
      </c>
      <c r="E7" s="11">
        <f t="shared" si="0"/>
        <v>274</v>
      </c>
      <c r="F7" s="11">
        <f t="shared" si="1"/>
        <v>1</v>
      </c>
      <c r="G7" s="11">
        <f t="shared" si="2"/>
        <v>132951</v>
      </c>
    </row>
    <row r="8" spans="1:7">
      <c r="A8" s="11" t="s">
        <v>630</v>
      </c>
      <c r="B8" s="3">
        <v>491</v>
      </c>
      <c r="C8" s="11" t="s">
        <v>921</v>
      </c>
      <c r="D8" s="11">
        <v>31</v>
      </c>
      <c r="E8" s="11">
        <f t="shared" si="0"/>
        <v>243</v>
      </c>
      <c r="F8" s="11">
        <f t="shared" si="1"/>
        <v>1</v>
      </c>
      <c r="G8" s="11">
        <f t="shared" si="2"/>
        <v>118822</v>
      </c>
    </row>
    <row r="9" spans="1:7">
      <c r="A9" s="11" t="s">
        <v>631</v>
      </c>
      <c r="B9" s="3">
        <v>496</v>
      </c>
      <c r="C9" s="11" t="s">
        <v>921</v>
      </c>
      <c r="D9" s="11">
        <v>30</v>
      </c>
      <c r="E9" s="11">
        <f t="shared" si="0"/>
        <v>212</v>
      </c>
      <c r="F9" s="11">
        <f t="shared" si="1"/>
        <v>1</v>
      </c>
      <c r="G9" s="11">
        <f t="shared" si="2"/>
        <v>104656</v>
      </c>
    </row>
    <row r="10" spans="1:7">
      <c r="A10" s="11" t="s">
        <v>632</v>
      </c>
      <c r="B10" s="3">
        <v>440</v>
      </c>
      <c r="C10" s="11" t="s">
        <v>921</v>
      </c>
      <c r="D10" s="11">
        <v>30</v>
      </c>
      <c r="E10" s="11">
        <f t="shared" si="0"/>
        <v>182</v>
      </c>
      <c r="F10" s="11">
        <f t="shared" si="1"/>
        <v>1</v>
      </c>
      <c r="G10" s="11">
        <f t="shared" si="2"/>
        <v>79640</v>
      </c>
    </row>
    <row r="11" spans="1:7">
      <c r="A11" s="11" t="s">
        <v>633</v>
      </c>
      <c r="B11" s="3">
        <v>444</v>
      </c>
      <c r="C11" s="11" t="s">
        <v>921</v>
      </c>
      <c r="D11" s="11">
        <v>25</v>
      </c>
      <c r="E11" s="11">
        <f t="shared" si="0"/>
        <v>152</v>
      </c>
      <c r="F11" s="11">
        <f t="shared" si="1"/>
        <v>1</v>
      </c>
      <c r="G11" s="11">
        <f t="shared" si="2"/>
        <v>67044</v>
      </c>
    </row>
    <row r="12" spans="1:7">
      <c r="A12" s="11" t="s">
        <v>807</v>
      </c>
      <c r="B12" s="3">
        <v>-10000</v>
      </c>
      <c r="C12" s="11" t="s">
        <v>502</v>
      </c>
      <c r="D12" s="11">
        <v>4</v>
      </c>
      <c r="E12" s="11">
        <f t="shared" si="0"/>
        <v>127</v>
      </c>
      <c r="F12" s="11">
        <f t="shared" si="1"/>
        <v>0</v>
      </c>
      <c r="G12" s="11">
        <f t="shared" si="2"/>
        <v>-1270000</v>
      </c>
    </row>
    <row r="13" spans="1:7">
      <c r="A13" s="11" t="s">
        <v>905</v>
      </c>
      <c r="B13" s="3">
        <v>436</v>
      </c>
      <c r="C13" s="11" t="s">
        <v>817</v>
      </c>
      <c r="D13" s="11">
        <v>3</v>
      </c>
      <c r="E13" s="11">
        <f t="shared" si="0"/>
        <v>123</v>
      </c>
      <c r="F13" s="11">
        <f t="shared" si="1"/>
        <v>1</v>
      </c>
      <c r="G13" s="11">
        <f t="shared" si="2"/>
        <v>53192</v>
      </c>
    </row>
    <row r="14" spans="1:7">
      <c r="A14" s="11" t="s">
        <v>820</v>
      </c>
      <c r="B14" s="3">
        <v>1000000</v>
      </c>
      <c r="C14" s="11" t="s">
        <v>822</v>
      </c>
      <c r="D14" s="11">
        <v>3</v>
      </c>
      <c r="E14" s="11">
        <f t="shared" si="0"/>
        <v>120</v>
      </c>
      <c r="F14" s="11">
        <f t="shared" si="1"/>
        <v>1</v>
      </c>
      <c r="G14" s="11">
        <f t="shared" si="2"/>
        <v>119000000</v>
      </c>
    </row>
    <row r="15" spans="1:7">
      <c r="A15" s="11" t="s">
        <v>824</v>
      </c>
      <c r="B15" s="3">
        <v>-95000</v>
      </c>
      <c r="C15" s="11" t="s">
        <v>502</v>
      </c>
      <c r="D15" s="11">
        <v>0</v>
      </c>
      <c r="E15" s="11">
        <f t="shared" si="0"/>
        <v>117</v>
      </c>
      <c r="F15" s="11">
        <f t="shared" si="1"/>
        <v>0</v>
      </c>
      <c r="G15" s="11">
        <f t="shared" si="2"/>
        <v>-11115000</v>
      </c>
    </row>
    <row r="16" spans="1:7">
      <c r="A16" s="11" t="s">
        <v>824</v>
      </c>
      <c r="B16" s="3">
        <v>-70600</v>
      </c>
      <c r="C16" s="11" t="s">
        <v>825</v>
      </c>
      <c r="D16" s="11">
        <v>0</v>
      </c>
      <c r="E16" s="11">
        <f t="shared" si="0"/>
        <v>117</v>
      </c>
      <c r="F16" s="11">
        <f t="shared" si="1"/>
        <v>0</v>
      </c>
      <c r="G16" s="11">
        <f t="shared" si="2"/>
        <v>-8260200</v>
      </c>
    </row>
    <row r="17" spans="1:7">
      <c r="A17" s="11" t="s">
        <v>824</v>
      </c>
      <c r="B17" s="3">
        <v>-450030</v>
      </c>
      <c r="C17" s="11" t="s">
        <v>826</v>
      </c>
      <c r="D17" s="11">
        <v>2</v>
      </c>
      <c r="E17" s="11">
        <f t="shared" si="0"/>
        <v>117</v>
      </c>
      <c r="F17" s="11">
        <f t="shared" si="1"/>
        <v>0</v>
      </c>
      <c r="G17" s="11">
        <f t="shared" si="2"/>
        <v>-52653510</v>
      </c>
    </row>
    <row r="18" spans="1:7">
      <c r="A18" s="11" t="s">
        <v>827</v>
      </c>
      <c r="B18" s="3">
        <v>-109047</v>
      </c>
      <c r="C18" s="11" t="s">
        <v>505</v>
      </c>
      <c r="D18" s="11">
        <v>1</v>
      </c>
      <c r="E18" s="11">
        <f t="shared" si="0"/>
        <v>115</v>
      </c>
      <c r="F18" s="11">
        <f t="shared" si="1"/>
        <v>0</v>
      </c>
      <c r="G18" s="11">
        <f t="shared" si="2"/>
        <v>-12540405</v>
      </c>
    </row>
    <row r="19" spans="1:7">
      <c r="A19" s="11" t="s">
        <v>830</v>
      </c>
      <c r="B19" s="3">
        <v>-26000</v>
      </c>
      <c r="C19" s="11" t="s">
        <v>831</v>
      </c>
      <c r="D19" s="11">
        <v>3</v>
      </c>
      <c r="E19" s="11">
        <f t="shared" si="0"/>
        <v>114</v>
      </c>
      <c r="F19" s="11">
        <f t="shared" si="1"/>
        <v>0</v>
      </c>
      <c r="G19" s="11">
        <f t="shared" si="2"/>
        <v>-2964000</v>
      </c>
    </row>
    <row r="20" spans="1:7">
      <c r="A20" s="11" t="s">
        <v>834</v>
      </c>
      <c r="B20" s="3">
        <v>-80000</v>
      </c>
      <c r="C20" s="11" t="s">
        <v>502</v>
      </c>
      <c r="D20" s="11">
        <v>2</v>
      </c>
      <c r="E20" s="11">
        <f t="shared" si="0"/>
        <v>111</v>
      </c>
      <c r="F20" s="11">
        <f t="shared" si="1"/>
        <v>0</v>
      </c>
      <c r="G20" s="11">
        <f t="shared" si="2"/>
        <v>-8880000</v>
      </c>
    </row>
    <row r="21" spans="1:7">
      <c r="A21" s="11" t="s">
        <v>836</v>
      </c>
      <c r="B21" s="3">
        <v>-95000</v>
      </c>
      <c r="C21" s="11" t="s">
        <v>502</v>
      </c>
      <c r="D21" s="11">
        <v>2</v>
      </c>
      <c r="E21" s="11">
        <f t="shared" si="0"/>
        <v>109</v>
      </c>
      <c r="F21" s="11">
        <f t="shared" si="1"/>
        <v>0</v>
      </c>
      <c r="G21" s="11">
        <f t="shared" si="2"/>
        <v>-10355000</v>
      </c>
    </row>
    <row r="22" spans="1:7">
      <c r="A22" s="11" t="s">
        <v>839</v>
      </c>
      <c r="B22" s="3">
        <v>-15670</v>
      </c>
      <c r="C22" s="11" t="s">
        <v>655</v>
      </c>
      <c r="D22" s="11">
        <v>1</v>
      </c>
      <c r="E22" s="11">
        <f t="shared" si="0"/>
        <v>107</v>
      </c>
      <c r="F22" s="11">
        <f t="shared" si="1"/>
        <v>0</v>
      </c>
      <c r="G22" s="11">
        <f t="shared" si="2"/>
        <v>-1676690</v>
      </c>
    </row>
    <row r="23" spans="1:7">
      <c r="A23" s="11" t="s">
        <v>842</v>
      </c>
      <c r="B23" s="3">
        <v>-95500</v>
      </c>
      <c r="C23" s="11" t="s">
        <v>843</v>
      </c>
      <c r="D23" s="11">
        <v>1</v>
      </c>
      <c r="E23" s="11">
        <f t="shared" si="0"/>
        <v>106</v>
      </c>
      <c r="F23" s="11">
        <f t="shared" si="1"/>
        <v>0</v>
      </c>
      <c r="G23" s="11">
        <f t="shared" si="2"/>
        <v>-10123000</v>
      </c>
    </row>
    <row r="24" spans="1:7">
      <c r="A24" s="11" t="s">
        <v>844</v>
      </c>
      <c r="B24" s="3">
        <v>2000000</v>
      </c>
      <c r="C24" s="11" t="s">
        <v>845</v>
      </c>
      <c r="D24" s="11">
        <v>0</v>
      </c>
      <c r="E24" s="11">
        <f t="shared" si="0"/>
        <v>105</v>
      </c>
      <c r="F24" s="11">
        <f t="shared" si="1"/>
        <v>1</v>
      </c>
      <c r="G24" s="11">
        <f t="shared" si="2"/>
        <v>208000000</v>
      </c>
    </row>
    <row r="25" spans="1:7">
      <c r="A25" s="11" t="s">
        <v>844</v>
      </c>
      <c r="B25" s="3">
        <v>-131450</v>
      </c>
      <c r="C25" s="11" t="s">
        <v>847</v>
      </c>
      <c r="D25" s="11">
        <v>6</v>
      </c>
      <c r="E25" s="11">
        <f t="shared" si="0"/>
        <v>105</v>
      </c>
      <c r="F25" s="11">
        <f t="shared" si="1"/>
        <v>0</v>
      </c>
      <c r="G25" s="11">
        <f t="shared" si="2"/>
        <v>-13802250</v>
      </c>
    </row>
    <row r="26" spans="1:7">
      <c r="A26" s="11" t="s">
        <v>849</v>
      </c>
      <c r="B26" s="3">
        <v>-15120</v>
      </c>
      <c r="C26" s="11" t="s">
        <v>655</v>
      </c>
      <c r="D26" s="11">
        <v>2</v>
      </c>
      <c r="E26" s="11">
        <f t="shared" si="0"/>
        <v>99</v>
      </c>
      <c r="F26" s="11">
        <f t="shared" si="1"/>
        <v>0</v>
      </c>
      <c r="G26" s="11">
        <f t="shared" si="2"/>
        <v>-1496880</v>
      </c>
    </row>
    <row r="27" spans="1:7">
      <c r="A27" s="11" t="s">
        <v>850</v>
      </c>
      <c r="B27" s="3">
        <v>-200000</v>
      </c>
      <c r="C27" s="11" t="s">
        <v>502</v>
      </c>
      <c r="D27" s="11">
        <v>1</v>
      </c>
      <c r="E27" s="11">
        <f t="shared" si="0"/>
        <v>97</v>
      </c>
      <c r="F27" s="11">
        <f t="shared" si="1"/>
        <v>0</v>
      </c>
      <c r="G27" s="11">
        <f t="shared" si="2"/>
        <v>-19400000</v>
      </c>
    </row>
    <row r="28" spans="1:7">
      <c r="A28" s="11" t="s">
        <v>851</v>
      </c>
      <c r="B28" s="3">
        <v>-180500</v>
      </c>
      <c r="C28" s="11" t="s">
        <v>852</v>
      </c>
      <c r="D28" s="11">
        <v>3</v>
      </c>
      <c r="E28" s="11">
        <f t="shared" si="0"/>
        <v>96</v>
      </c>
      <c r="F28" s="11">
        <f t="shared" si="1"/>
        <v>0</v>
      </c>
      <c r="G28" s="11">
        <f t="shared" si="2"/>
        <v>-17328000</v>
      </c>
    </row>
    <row r="29" spans="1:7">
      <c r="A29" s="11" t="s">
        <v>854</v>
      </c>
      <c r="B29" s="35">
        <v>7117</v>
      </c>
      <c r="C29" s="11" t="s">
        <v>860</v>
      </c>
      <c r="D29" s="11">
        <v>4</v>
      </c>
      <c r="E29" s="11">
        <f t="shared" si="0"/>
        <v>93</v>
      </c>
      <c r="F29" s="11">
        <f t="shared" si="1"/>
        <v>1</v>
      </c>
      <c r="G29" s="11">
        <f t="shared" si="2"/>
        <v>654764</v>
      </c>
    </row>
    <row r="30" spans="1:7">
      <c r="A30" s="11" t="s">
        <v>868</v>
      </c>
      <c r="B30" s="3">
        <v>-10000</v>
      </c>
      <c r="C30" s="11" t="s">
        <v>502</v>
      </c>
      <c r="D30" s="11">
        <v>4</v>
      </c>
      <c r="E30" s="11">
        <f t="shared" si="0"/>
        <v>89</v>
      </c>
      <c r="F30" s="11">
        <f t="shared" si="1"/>
        <v>0</v>
      </c>
      <c r="G30" s="11">
        <f t="shared" si="2"/>
        <v>-890000</v>
      </c>
    </row>
    <row r="31" spans="1:7">
      <c r="A31" s="11" t="s">
        <v>874</v>
      </c>
      <c r="B31" s="3">
        <v>-47053</v>
      </c>
      <c r="C31" s="11" t="s">
        <v>875</v>
      </c>
      <c r="D31" s="11">
        <v>6</v>
      </c>
      <c r="E31" s="11">
        <f t="shared" si="0"/>
        <v>85</v>
      </c>
      <c r="F31" s="11">
        <f t="shared" si="1"/>
        <v>0</v>
      </c>
      <c r="G31" s="11">
        <f t="shared" si="2"/>
        <v>-3999505</v>
      </c>
    </row>
    <row r="32" spans="1:7">
      <c r="A32" s="11" t="s">
        <v>876</v>
      </c>
      <c r="B32" s="3">
        <v>-33870</v>
      </c>
      <c r="C32" s="11" t="s">
        <v>877</v>
      </c>
      <c r="D32" s="11">
        <v>4</v>
      </c>
      <c r="E32" s="11">
        <f t="shared" si="0"/>
        <v>79</v>
      </c>
      <c r="F32" s="11">
        <f t="shared" si="1"/>
        <v>0</v>
      </c>
      <c r="G32" s="11">
        <f t="shared" si="2"/>
        <v>-2675730</v>
      </c>
    </row>
    <row r="33" spans="1:9">
      <c r="A33" s="11" t="s">
        <v>878</v>
      </c>
      <c r="B33" s="3">
        <v>-22000</v>
      </c>
      <c r="C33" s="11" t="s">
        <v>879</v>
      </c>
      <c r="D33" s="11">
        <v>0</v>
      </c>
      <c r="E33" s="11">
        <f t="shared" si="0"/>
        <v>75</v>
      </c>
      <c r="F33" s="11">
        <f t="shared" si="1"/>
        <v>0</v>
      </c>
      <c r="G33" s="11">
        <f t="shared" si="2"/>
        <v>-1650000</v>
      </c>
    </row>
    <row r="34" spans="1:9">
      <c r="A34" s="11" t="s">
        <v>878</v>
      </c>
      <c r="B34" s="3">
        <v>-250000</v>
      </c>
      <c r="C34" s="11" t="s">
        <v>880</v>
      </c>
      <c r="D34" s="11">
        <v>0</v>
      </c>
      <c r="E34" s="11">
        <f t="shared" si="0"/>
        <v>75</v>
      </c>
      <c r="F34" s="11">
        <f t="shared" si="1"/>
        <v>0</v>
      </c>
      <c r="G34" s="11">
        <f t="shared" si="2"/>
        <v>-18750000</v>
      </c>
    </row>
    <row r="35" spans="1:9">
      <c r="A35" s="11" t="s">
        <v>878</v>
      </c>
      <c r="B35" s="3">
        <v>-650500</v>
      </c>
      <c r="C35" s="11" t="s">
        <v>881</v>
      </c>
      <c r="D35" s="11">
        <v>2</v>
      </c>
      <c r="E35" s="11">
        <f t="shared" si="0"/>
        <v>75</v>
      </c>
      <c r="F35" s="11">
        <f t="shared" si="1"/>
        <v>0</v>
      </c>
      <c r="G35" s="11">
        <f t="shared" si="2"/>
        <v>-48787500</v>
      </c>
    </row>
    <row r="36" spans="1:9">
      <c r="A36" s="11" t="s">
        <v>882</v>
      </c>
      <c r="B36" s="3">
        <v>-200000</v>
      </c>
      <c r="C36" s="11" t="s">
        <v>502</v>
      </c>
      <c r="D36" s="11">
        <v>3</v>
      </c>
      <c r="E36" s="11">
        <f t="shared" si="0"/>
        <v>73</v>
      </c>
      <c r="F36" s="11">
        <f t="shared" si="1"/>
        <v>0</v>
      </c>
      <c r="G36" s="11">
        <f t="shared" si="2"/>
        <v>-14600000</v>
      </c>
    </row>
    <row r="37" spans="1:9">
      <c r="A37" s="11" t="s">
        <v>883</v>
      </c>
      <c r="B37" s="3">
        <v>-200000</v>
      </c>
      <c r="C37" s="11" t="s">
        <v>502</v>
      </c>
      <c r="D37" s="11">
        <v>0</v>
      </c>
      <c r="E37" s="11">
        <f t="shared" si="0"/>
        <v>70</v>
      </c>
      <c r="F37" s="11">
        <f t="shared" si="1"/>
        <v>0</v>
      </c>
      <c r="G37" s="11">
        <f t="shared" si="2"/>
        <v>-14000000</v>
      </c>
    </row>
    <row r="38" spans="1:9">
      <c r="A38" s="11" t="s">
        <v>906</v>
      </c>
      <c r="B38" s="3">
        <v>-26274</v>
      </c>
      <c r="C38" s="11" t="s">
        <v>61</v>
      </c>
      <c r="D38" s="11">
        <v>1</v>
      </c>
      <c r="E38" s="11">
        <f t="shared" si="0"/>
        <v>70</v>
      </c>
      <c r="F38" s="11">
        <f t="shared" si="1"/>
        <v>0</v>
      </c>
      <c r="G38" s="11">
        <f t="shared" si="2"/>
        <v>-1839180</v>
      </c>
    </row>
    <row r="39" spans="1:9">
      <c r="A39" s="11" t="s">
        <v>907</v>
      </c>
      <c r="B39" s="3">
        <v>-10070</v>
      </c>
      <c r="C39" s="11" t="s">
        <v>61</v>
      </c>
      <c r="D39" s="11">
        <v>1</v>
      </c>
      <c r="E39" s="11">
        <f t="shared" si="0"/>
        <v>69</v>
      </c>
      <c r="F39" s="11">
        <f t="shared" si="1"/>
        <v>0</v>
      </c>
      <c r="G39" s="11">
        <f t="shared" si="2"/>
        <v>-694830</v>
      </c>
    </row>
    <row r="40" spans="1:9">
      <c r="A40" s="11" t="s">
        <v>908</v>
      </c>
      <c r="B40" s="3">
        <v>-30000</v>
      </c>
      <c r="C40" s="11" t="s">
        <v>909</v>
      </c>
      <c r="D40" s="11">
        <v>5</v>
      </c>
      <c r="E40" s="11">
        <f t="shared" si="0"/>
        <v>68</v>
      </c>
      <c r="F40" s="11">
        <f t="shared" si="1"/>
        <v>0</v>
      </c>
      <c r="G40" s="11">
        <f t="shared" si="2"/>
        <v>-2040000</v>
      </c>
    </row>
    <row r="41" spans="1:9">
      <c r="A41" s="11" t="s">
        <v>891</v>
      </c>
      <c r="B41" s="3">
        <v>7481</v>
      </c>
      <c r="C41" s="11" t="s">
        <v>910</v>
      </c>
      <c r="D41" s="11">
        <v>1</v>
      </c>
      <c r="E41" s="11">
        <f t="shared" si="0"/>
        <v>63</v>
      </c>
      <c r="F41" s="11">
        <f t="shared" si="1"/>
        <v>1</v>
      </c>
      <c r="G41" s="11">
        <f t="shared" si="2"/>
        <v>463822</v>
      </c>
    </row>
    <row r="42" spans="1:9">
      <c r="A42" s="11" t="s">
        <v>894</v>
      </c>
      <c r="B42" s="3">
        <v>1000000</v>
      </c>
      <c r="C42" s="11" t="s">
        <v>895</v>
      </c>
      <c r="D42" s="11">
        <v>2</v>
      </c>
      <c r="E42" s="11">
        <f t="shared" si="0"/>
        <v>62</v>
      </c>
      <c r="F42" s="11">
        <f t="shared" si="1"/>
        <v>1</v>
      </c>
      <c r="G42" s="11">
        <f t="shared" si="2"/>
        <v>61000000</v>
      </c>
    </row>
    <row r="43" spans="1:9">
      <c r="A43" s="11" t="s">
        <v>911</v>
      </c>
      <c r="B43" s="3">
        <v>-39330</v>
      </c>
      <c r="C43" s="11" t="s">
        <v>897</v>
      </c>
      <c r="D43" s="11">
        <v>3</v>
      </c>
      <c r="E43" s="11">
        <f t="shared" si="0"/>
        <v>60</v>
      </c>
      <c r="F43" s="11">
        <f t="shared" si="1"/>
        <v>0</v>
      </c>
      <c r="G43" s="11">
        <f t="shared" si="2"/>
        <v>-2359800</v>
      </c>
    </row>
    <row r="44" spans="1:9">
      <c r="A44" s="11" t="s">
        <v>912</v>
      </c>
      <c r="B44" s="3">
        <v>-35080</v>
      </c>
      <c r="C44" s="11" t="s">
        <v>61</v>
      </c>
      <c r="D44" s="11">
        <v>3</v>
      </c>
      <c r="E44" s="11">
        <f t="shared" si="0"/>
        <v>57</v>
      </c>
      <c r="F44" s="11">
        <f t="shared" si="1"/>
        <v>0</v>
      </c>
      <c r="G44" s="11">
        <f t="shared" si="2"/>
        <v>-1999560</v>
      </c>
    </row>
    <row r="45" spans="1:9">
      <c r="A45" s="11" t="s">
        <v>896</v>
      </c>
      <c r="B45" s="3">
        <v>-200000</v>
      </c>
      <c r="C45" s="11" t="s">
        <v>502</v>
      </c>
      <c r="D45" s="11">
        <v>1</v>
      </c>
      <c r="E45" s="11">
        <f t="shared" si="0"/>
        <v>54</v>
      </c>
      <c r="F45" s="11">
        <f t="shared" si="1"/>
        <v>0</v>
      </c>
      <c r="G45" s="11">
        <f t="shared" si="2"/>
        <v>-10800000</v>
      </c>
    </row>
    <row r="46" spans="1:9">
      <c r="A46" s="11" t="s">
        <v>898</v>
      </c>
      <c r="B46" s="3">
        <v>-42370</v>
      </c>
      <c r="C46" s="11" t="s">
        <v>61</v>
      </c>
      <c r="D46" s="11">
        <v>1</v>
      </c>
      <c r="E46" s="11">
        <f>E47+D46</f>
        <v>53</v>
      </c>
      <c r="F46" s="11">
        <f t="shared" si="1"/>
        <v>0</v>
      </c>
      <c r="G46" s="11">
        <f t="shared" si="2"/>
        <v>-2245610</v>
      </c>
    </row>
    <row r="47" spans="1:9">
      <c r="A47" s="11" t="s">
        <v>913</v>
      </c>
      <c r="B47" s="3">
        <v>-42914</v>
      </c>
      <c r="C47" s="11" t="s">
        <v>61</v>
      </c>
      <c r="D47" s="11">
        <v>3</v>
      </c>
      <c r="E47" s="11">
        <f t="shared" ref="E47:E69" si="3">E48+D47</f>
        <v>52</v>
      </c>
      <c r="F47" s="11">
        <f t="shared" si="1"/>
        <v>0</v>
      </c>
      <c r="G47" s="11">
        <f t="shared" si="2"/>
        <v>-2231528</v>
      </c>
    </row>
    <row r="48" spans="1:9">
      <c r="A48" s="11" t="s">
        <v>914</v>
      </c>
      <c r="B48" s="3">
        <v>-83000</v>
      </c>
      <c r="C48" s="11" t="s">
        <v>915</v>
      </c>
      <c r="D48" s="11">
        <v>1</v>
      </c>
      <c r="E48" s="11">
        <f t="shared" si="3"/>
        <v>49</v>
      </c>
      <c r="F48" s="11">
        <f t="shared" si="1"/>
        <v>0</v>
      </c>
      <c r="G48" s="11">
        <f t="shared" si="2"/>
        <v>-4067000</v>
      </c>
      <c r="I48" t="s">
        <v>25</v>
      </c>
    </row>
    <row r="49" spans="1:7">
      <c r="A49" s="11" t="s">
        <v>916</v>
      </c>
      <c r="B49" s="3">
        <v>-95000</v>
      </c>
      <c r="C49" s="11" t="s">
        <v>502</v>
      </c>
      <c r="D49" s="11">
        <v>2</v>
      </c>
      <c r="E49" s="11">
        <f t="shared" si="3"/>
        <v>48</v>
      </c>
      <c r="F49" s="11">
        <f t="shared" si="1"/>
        <v>0</v>
      </c>
      <c r="G49" s="11">
        <f t="shared" si="2"/>
        <v>-4560000</v>
      </c>
    </row>
    <row r="50" spans="1:7">
      <c r="A50" s="11" t="s">
        <v>917</v>
      </c>
      <c r="B50" s="3">
        <v>-180000</v>
      </c>
      <c r="C50" s="11" t="s">
        <v>918</v>
      </c>
      <c r="D50" s="11">
        <v>0</v>
      </c>
      <c r="E50" s="11">
        <f t="shared" si="3"/>
        <v>46</v>
      </c>
      <c r="F50" s="11">
        <f t="shared" si="1"/>
        <v>0</v>
      </c>
      <c r="G50" s="11">
        <f t="shared" si="2"/>
        <v>-8280000</v>
      </c>
    </row>
    <row r="51" spans="1:7">
      <c r="A51" s="11" t="s">
        <v>919</v>
      </c>
      <c r="B51" s="3">
        <v>-95000</v>
      </c>
      <c r="C51" s="11" t="s">
        <v>502</v>
      </c>
      <c r="D51" s="11">
        <v>2</v>
      </c>
      <c r="E51" s="11">
        <f t="shared" si="3"/>
        <v>46</v>
      </c>
      <c r="F51" s="11">
        <f t="shared" si="1"/>
        <v>0</v>
      </c>
      <c r="G51" s="11">
        <f t="shared" si="2"/>
        <v>-4370000</v>
      </c>
    </row>
    <row r="52" spans="1:7">
      <c r="A52" s="11" t="s">
        <v>920</v>
      </c>
      <c r="B52" s="3">
        <v>-12780</v>
      </c>
      <c r="C52" s="11" t="s">
        <v>61</v>
      </c>
      <c r="D52" s="11">
        <v>1</v>
      </c>
      <c r="E52" s="11">
        <f t="shared" si="3"/>
        <v>44</v>
      </c>
      <c r="F52" s="11">
        <f t="shared" si="1"/>
        <v>0</v>
      </c>
      <c r="G52" s="11">
        <f t="shared" si="2"/>
        <v>-562320</v>
      </c>
    </row>
    <row r="53" spans="1:7">
      <c r="A53" s="11" t="s">
        <v>930</v>
      </c>
      <c r="B53" s="3">
        <v>-22000</v>
      </c>
      <c r="C53" s="11" t="s">
        <v>931</v>
      </c>
      <c r="D53" s="11">
        <v>1</v>
      </c>
      <c r="E53" s="11">
        <f t="shared" si="3"/>
        <v>43</v>
      </c>
      <c r="F53" s="11">
        <f t="shared" si="1"/>
        <v>0</v>
      </c>
      <c r="G53" s="11">
        <f t="shared" si="2"/>
        <v>-946000</v>
      </c>
    </row>
    <row r="54" spans="1:7">
      <c r="A54" s="11" t="s">
        <v>924</v>
      </c>
      <c r="B54" s="3">
        <v>999000</v>
      </c>
      <c r="C54" s="11" t="s">
        <v>928</v>
      </c>
      <c r="D54" s="11">
        <v>0</v>
      </c>
      <c r="E54" s="11">
        <f t="shared" si="3"/>
        <v>42</v>
      </c>
      <c r="F54" s="11">
        <f t="shared" si="1"/>
        <v>1</v>
      </c>
      <c r="G54" s="11">
        <f t="shared" si="2"/>
        <v>40959000</v>
      </c>
    </row>
    <row r="55" spans="1:7">
      <c r="A55" s="11" t="s">
        <v>924</v>
      </c>
      <c r="B55" s="3">
        <v>106900</v>
      </c>
      <c r="C55" s="11" t="s">
        <v>929</v>
      </c>
      <c r="D55" s="11">
        <v>0</v>
      </c>
      <c r="E55" s="11">
        <f t="shared" si="3"/>
        <v>42</v>
      </c>
      <c r="F55" s="11">
        <f t="shared" si="1"/>
        <v>1</v>
      </c>
      <c r="G55" s="11">
        <f t="shared" si="2"/>
        <v>4382900</v>
      </c>
    </row>
    <row r="56" spans="1:7">
      <c r="A56" s="11" t="s">
        <v>924</v>
      </c>
      <c r="B56" s="3">
        <v>-163000</v>
      </c>
      <c r="C56" s="11" t="s">
        <v>463</v>
      </c>
      <c r="D56" s="11">
        <v>1</v>
      </c>
      <c r="E56" s="11">
        <f t="shared" si="3"/>
        <v>42</v>
      </c>
      <c r="F56" s="11">
        <f t="shared" si="1"/>
        <v>0</v>
      </c>
      <c r="G56" s="11">
        <f t="shared" si="2"/>
        <v>-6846000</v>
      </c>
    </row>
    <row r="57" spans="1:7">
      <c r="A57" s="11" t="s">
        <v>933</v>
      </c>
      <c r="B57" s="3">
        <v>-18400</v>
      </c>
      <c r="C57" s="11" t="s">
        <v>875</v>
      </c>
      <c r="D57" s="11">
        <v>1</v>
      </c>
      <c r="E57" s="11">
        <f t="shared" si="3"/>
        <v>41</v>
      </c>
      <c r="F57" s="11">
        <f t="shared" si="1"/>
        <v>0</v>
      </c>
      <c r="G57" s="11">
        <f t="shared" si="2"/>
        <v>-754400</v>
      </c>
    </row>
    <row r="58" spans="1:7">
      <c r="A58" s="11" t="s">
        <v>942</v>
      </c>
      <c r="B58" s="3">
        <v>-457777</v>
      </c>
      <c r="C58" s="11" t="s">
        <v>935</v>
      </c>
      <c r="D58" s="11">
        <v>1</v>
      </c>
      <c r="E58" s="11">
        <f t="shared" si="3"/>
        <v>40</v>
      </c>
      <c r="F58" s="11">
        <f t="shared" si="1"/>
        <v>0</v>
      </c>
      <c r="G58" s="11">
        <f t="shared" si="2"/>
        <v>-18311080</v>
      </c>
    </row>
    <row r="59" spans="1:7">
      <c r="A59" s="11" t="s">
        <v>1054</v>
      </c>
      <c r="B59" s="3">
        <v>-200000</v>
      </c>
      <c r="C59" s="11" t="s">
        <v>502</v>
      </c>
      <c r="D59" s="11">
        <v>3</v>
      </c>
      <c r="E59" s="11">
        <f t="shared" si="3"/>
        <v>39</v>
      </c>
      <c r="F59" s="11">
        <f t="shared" si="1"/>
        <v>0</v>
      </c>
      <c r="G59" s="11">
        <f t="shared" si="2"/>
        <v>-7800000</v>
      </c>
    </row>
    <row r="60" spans="1:7">
      <c r="A60" s="11" t="s">
        <v>1033</v>
      </c>
      <c r="B60" s="3">
        <v>-23809</v>
      </c>
      <c r="C60" s="11" t="s">
        <v>61</v>
      </c>
      <c r="D60" s="11">
        <v>2</v>
      </c>
      <c r="E60" s="11">
        <f t="shared" si="3"/>
        <v>36</v>
      </c>
      <c r="F60" s="11">
        <f t="shared" si="1"/>
        <v>0</v>
      </c>
      <c r="G60" s="11">
        <f t="shared" si="2"/>
        <v>-857124</v>
      </c>
    </row>
    <row r="61" spans="1:7">
      <c r="A61" s="11" t="s">
        <v>1050</v>
      </c>
      <c r="B61" s="3">
        <v>4172</v>
      </c>
      <c r="C61" s="11" t="s">
        <v>1052</v>
      </c>
      <c r="D61" s="11">
        <v>1</v>
      </c>
      <c r="E61" s="11">
        <f t="shared" si="3"/>
        <v>34</v>
      </c>
      <c r="F61" s="11">
        <f t="shared" si="1"/>
        <v>1</v>
      </c>
      <c r="G61" s="11">
        <f t="shared" si="2"/>
        <v>137676</v>
      </c>
    </row>
    <row r="62" spans="1:7">
      <c r="A62" s="11" t="s">
        <v>1056</v>
      </c>
      <c r="B62" s="3">
        <v>-161000</v>
      </c>
      <c r="C62" s="11" t="s">
        <v>1064</v>
      </c>
      <c r="D62" s="11">
        <v>1</v>
      </c>
      <c r="E62" s="11">
        <f t="shared" si="3"/>
        <v>33</v>
      </c>
      <c r="F62" s="11">
        <f t="shared" si="1"/>
        <v>0</v>
      </c>
      <c r="G62" s="11">
        <f t="shared" si="2"/>
        <v>-5313000</v>
      </c>
    </row>
    <row r="63" spans="1:7">
      <c r="A63" s="11" t="s">
        <v>1069</v>
      </c>
      <c r="B63" s="3">
        <v>-149505</v>
      </c>
      <c r="C63" s="11" t="s">
        <v>1070</v>
      </c>
      <c r="D63" s="11">
        <v>4</v>
      </c>
      <c r="E63" s="11">
        <f t="shared" si="3"/>
        <v>32</v>
      </c>
      <c r="F63" s="11">
        <f t="shared" si="1"/>
        <v>0</v>
      </c>
      <c r="G63" s="11">
        <f t="shared" si="2"/>
        <v>-4784160</v>
      </c>
    </row>
    <row r="64" spans="1:7">
      <c r="A64" s="11" t="s">
        <v>1082</v>
      </c>
      <c r="B64" s="3">
        <v>-4940</v>
      </c>
      <c r="C64" s="11" t="s">
        <v>1086</v>
      </c>
      <c r="D64" s="11">
        <v>25</v>
      </c>
      <c r="E64" s="11">
        <f t="shared" si="3"/>
        <v>28</v>
      </c>
      <c r="F64" s="11">
        <f t="shared" si="1"/>
        <v>0</v>
      </c>
      <c r="G64" s="11">
        <f t="shared" si="2"/>
        <v>-138320</v>
      </c>
    </row>
    <row r="65" spans="1:7">
      <c r="A65" s="11" t="s">
        <v>1257</v>
      </c>
      <c r="B65" s="3">
        <v>1009</v>
      </c>
      <c r="C65" s="11" t="s">
        <v>510</v>
      </c>
      <c r="D65" s="11">
        <v>2</v>
      </c>
      <c r="E65" s="11">
        <f t="shared" si="3"/>
        <v>3</v>
      </c>
      <c r="F65" s="11">
        <f t="shared" si="1"/>
        <v>1</v>
      </c>
      <c r="G65" s="11">
        <f t="shared" si="2"/>
        <v>2018</v>
      </c>
    </row>
    <row r="66" spans="1:7">
      <c r="A66" s="11" t="s">
        <v>1260</v>
      </c>
      <c r="B66" s="3">
        <v>-64538</v>
      </c>
      <c r="C66" s="11" t="s">
        <v>875</v>
      </c>
      <c r="D66" s="11">
        <v>1</v>
      </c>
      <c r="E66" s="11">
        <f t="shared" si="3"/>
        <v>1</v>
      </c>
      <c r="F66" s="11">
        <f t="shared" si="1"/>
        <v>0</v>
      </c>
      <c r="G66" s="11">
        <f t="shared" si="2"/>
        <v>-64538</v>
      </c>
    </row>
    <row r="67" spans="1:7">
      <c r="A67" s="11"/>
      <c r="B67" s="3"/>
      <c r="C67" s="11"/>
      <c r="D67" s="11"/>
      <c r="E67" s="11">
        <f t="shared" si="3"/>
        <v>0</v>
      </c>
      <c r="F67" s="11">
        <f t="shared" si="1"/>
        <v>0</v>
      </c>
      <c r="G67" s="11">
        <f t="shared" si="2"/>
        <v>0</v>
      </c>
    </row>
    <row r="68" spans="1:7">
      <c r="A68" s="11"/>
      <c r="B68" s="3"/>
      <c r="C68" s="11"/>
      <c r="D68" s="11"/>
      <c r="E68" s="11">
        <f t="shared" si="3"/>
        <v>0</v>
      </c>
      <c r="F68" s="11">
        <f t="shared" si="1"/>
        <v>0</v>
      </c>
      <c r="G68" s="11">
        <f t="shared" si="2"/>
        <v>0</v>
      </c>
    </row>
    <row r="69" spans="1:7">
      <c r="A69" s="11"/>
      <c r="B69" s="3"/>
      <c r="C69" s="11"/>
      <c r="D69" s="11"/>
      <c r="E69" s="11">
        <f t="shared" si="3"/>
        <v>0</v>
      </c>
      <c r="F69" s="11">
        <f t="shared" si="1"/>
        <v>0</v>
      </c>
      <c r="G69" s="11">
        <f t="shared" si="2"/>
        <v>0</v>
      </c>
    </row>
    <row r="70" spans="1:7">
      <c r="A70" s="11"/>
      <c r="B70" s="29">
        <f>SUM(B2:B68)</f>
        <v>36482</v>
      </c>
      <c r="C70" s="11"/>
      <c r="D70" s="11"/>
      <c r="E70" s="11"/>
      <c r="F70" s="11"/>
      <c r="G70" s="29">
        <f>SUM(G2:G30)</f>
        <v>178364744</v>
      </c>
    </row>
    <row r="71" spans="1:7">
      <c r="A71" s="11"/>
      <c r="B71" s="11" t="s">
        <v>283</v>
      </c>
      <c r="C71" s="11"/>
      <c r="D71" s="11"/>
      <c r="E71" s="11"/>
      <c r="F71" s="11"/>
      <c r="G71" s="11" t="s">
        <v>284</v>
      </c>
    </row>
    <row r="72" spans="1:7">
      <c r="A72" s="11"/>
      <c r="B72" s="11"/>
      <c r="C72" s="11"/>
      <c r="D72" s="11"/>
      <c r="E72" s="11"/>
      <c r="F72" s="11"/>
      <c r="G72" s="11"/>
    </row>
    <row r="73" spans="1:7">
      <c r="A73" s="11"/>
      <c r="B73" s="11"/>
      <c r="C73" s="11"/>
      <c r="D73" s="11"/>
      <c r="E73" s="11"/>
      <c r="F73" s="11"/>
      <c r="G73" s="3">
        <f>G70/E2</f>
        <v>401722.39639639639</v>
      </c>
    </row>
    <row r="74" spans="1:7">
      <c r="A74" s="11"/>
      <c r="B74" s="11"/>
      <c r="C74" s="11"/>
      <c r="D74" s="11"/>
      <c r="E74" s="11"/>
      <c r="F74" s="11"/>
      <c r="G74" s="11" t="s">
        <v>286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D2" sqref="D2"/>
    </sheetView>
  </sheetViews>
  <sheetFormatPr defaultRowHeight="15"/>
  <cols>
    <col min="1" max="1" width="10.7109375" bestFit="1" customWidth="1"/>
    <col min="2" max="4" width="15.140625" bestFit="1" customWidth="1"/>
    <col min="5" max="5" width="23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815</v>
      </c>
      <c r="B2" s="3">
        <f>'دی 96'!B24</f>
        <v>35873635</v>
      </c>
      <c r="C2" s="1">
        <f>'دی 96'!C24</f>
        <v>9416657</v>
      </c>
      <c r="D2" s="3">
        <f>B2-C2</f>
        <v>26456978</v>
      </c>
      <c r="E2" s="2" t="s">
        <v>59</v>
      </c>
      <c r="F2">
        <v>30</v>
      </c>
      <c r="G2">
        <f>B2*F2</f>
        <v>1076209050</v>
      </c>
      <c r="H2">
        <f>C2*F2</f>
        <v>282499710</v>
      </c>
      <c r="I2">
        <f>D2*F2</f>
        <v>793709340</v>
      </c>
    </row>
    <row r="3" spans="1:17">
      <c r="A3" s="20" t="s">
        <v>882</v>
      </c>
      <c r="B3" s="18">
        <v>0</v>
      </c>
      <c r="C3" s="18">
        <v>-1000000</v>
      </c>
      <c r="D3" s="43">
        <f t="shared" ref="D3:D22" si="0">B3-C3</f>
        <v>1000000</v>
      </c>
      <c r="E3" s="20" t="s">
        <v>886</v>
      </c>
      <c r="F3">
        <v>10</v>
      </c>
      <c r="G3">
        <f t="shared" ref="G3:G23" si="1">B3*F3</f>
        <v>0</v>
      </c>
      <c r="H3">
        <f t="shared" ref="H3:H23" si="2">C3*F3</f>
        <v>-10000000</v>
      </c>
      <c r="I3">
        <f t="shared" ref="I3:I23" si="3">D3*F3</f>
        <v>10000000</v>
      </c>
    </row>
    <row r="4" spans="1:17">
      <c r="A4" s="23" t="s">
        <v>891</v>
      </c>
      <c r="B4" s="39">
        <v>294852</v>
      </c>
      <c r="C4" s="39">
        <v>74657</v>
      </c>
      <c r="D4" s="35">
        <f t="shared" si="0"/>
        <v>220195</v>
      </c>
      <c r="E4" s="23" t="s">
        <v>901</v>
      </c>
      <c r="F4">
        <v>0</v>
      </c>
      <c r="G4">
        <f t="shared" si="1"/>
        <v>0</v>
      </c>
      <c r="H4">
        <f t="shared" si="2"/>
        <v>0</v>
      </c>
      <c r="I4">
        <f t="shared" si="3"/>
        <v>0</v>
      </c>
      <c r="O4">
        <v>1</v>
      </c>
      <c r="P4">
        <v>29</v>
      </c>
      <c r="Q4">
        <v>30</v>
      </c>
    </row>
    <row r="5" spans="1:17">
      <c r="A5" s="30" t="s">
        <v>762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773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36168487</v>
      </c>
      <c r="C24" s="3">
        <f>SUM(C2:C22)</f>
        <v>8491314</v>
      </c>
      <c r="D24" s="3">
        <f>SUM(D2:D22)</f>
        <v>27677173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1076209050</v>
      </c>
      <c r="H25" s="18">
        <f>SUM(H2:H23)</f>
        <v>272499710</v>
      </c>
      <c r="I25" s="18">
        <f>SUM(I2:I23)</f>
        <v>803709340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7111922</v>
      </c>
      <c r="E30" s="41" t="s">
        <v>95</v>
      </c>
      <c r="G30" s="18">
        <f>G25*100000/365000000</f>
        <v>294851.79452054796</v>
      </c>
      <c r="H30" s="18">
        <f>G30*H25/G25</f>
        <v>74657.454794520556</v>
      </c>
      <c r="I30" s="18">
        <f>G30*I25/G25</f>
        <v>220194.33972602742</v>
      </c>
      <c r="O30">
        <v>27</v>
      </c>
      <c r="P30">
        <v>3</v>
      </c>
      <c r="Q30">
        <v>4</v>
      </c>
    </row>
    <row r="31" spans="1:17">
      <c r="D31" s="42">
        <v>-20000</v>
      </c>
      <c r="E31" s="54" t="s">
        <v>884</v>
      </c>
      <c r="G31" s="9" t="s">
        <v>405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-10000</v>
      </c>
      <c r="E32" s="41" t="s">
        <v>885</v>
      </c>
      <c r="O32">
        <v>29</v>
      </c>
      <c r="P32">
        <v>1</v>
      </c>
      <c r="Q32">
        <v>2</v>
      </c>
    </row>
    <row r="33" spans="4:17">
      <c r="D33" s="42">
        <v>0</v>
      </c>
      <c r="E33" s="41"/>
      <c r="O33">
        <v>30</v>
      </c>
      <c r="P33">
        <v>0</v>
      </c>
      <c r="Q33">
        <v>1</v>
      </c>
    </row>
    <row r="34" spans="4:17">
      <c r="D34" s="42">
        <v>0</v>
      </c>
      <c r="E34" s="41"/>
      <c r="P34" t="s">
        <v>60</v>
      </c>
      <c r="Q34" t="s">
        <v>61</v>
      </c>
    </row>
    <row r="35" spans="4:17">
      <c r="D35" s="42">
        <v>0</v>
      </c>
      <c r="E35" s="41"/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7081922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31" sqref="C31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27.8554687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891</v>
      </c>
      <c r="B2" s="3">
        <f>'بهمن 96'!B24</f>
        <v>36168487</v>
      </c>
      <c r="C2" s="1">
        <f>'بهمن 96'!C24</f>
        <v>8491314</v>
      </c>
      <c r="D2" s="3">
        <f>B2-C2</f>
        <v>27677173</v>
      </c>
      <c r="E2" s="2" t="s">
        <v>59</v>
      </c>
      <c r="F2">
        <v>30</v>
      </c>
      <c r="G2">
        <f>B2*F2</f>
        <v>1085054610</v>
      </c>
      <c r="H2">
        <f>C2*F2</f>
        <v>254739420</v>
      </c>
      <c r="I2">
        <f>D2*F2</f>
        <v>830315190</v>
      </c>
    </row>
    <row r="3" spans="1:17">
      <c r="A3" s="20" t="s">
        <v>902</v>
      </c>
      <c r="B3" s="18">
        <v>-1000500</v>
      </c>
      <c r="C3" s="18">
        <v>-1000500</v>
      </c>
      <c r="D3" s="43">
        <f t="shared" ref="D3:D22" si="0">B3-C3</f>
        <v>0</v>
      </c>
      <c r="E3" s="20" t="s">
        <v>903</v>
      </c>
      <c r="F3">
        <v>11</v>
      </c>
      <c r="G3">
        <f t="shared" ref="G3:G23" si="1">B3*F3</f>
        <v>-11005500</v>
      </c>
      <c r="H3">
        <f t="shared" ref="H3:H23" si="2">C3*F3</f>
        <v>-11005500</v>
      </c>
      <c r="I3">
        <f t="shared" ref="I3:I23" si="3">D3*F3</f>
        <v>0</v>
      </c>
    </row>
    <row r="4" spans="1:17">
      <c r="A4" s="20" t="s">
        <v>916</v>
      </c>
      <c r="B4" s="18">
        <v>-10000</v>
      </c>
      <c r="C4" s="18">
        <v>-5000</v>
      </c>
      <c r="D4" s="3">
        <f t="shared" si="0"/>
        <v>-5000</v>
      </c>
      <c r="E4" s="11" t="s">
        <v>922</v>
      </c>
      <c r="F4">
        <v>16</v>
      </c>
      <c r="G4">
        <f t="shared" si="1"/>
        <v>-160000</v>
      </c>
      <c r="H4">
        <f t="shared" si="2"/>
        <v>-80000</v>
      </c>
      <c r="I4">
        <f t="shared" si="3"/>
        <v>-80000</v>
      </c>
      <c r="O4">
        <v>1</v>
      </c>
      <c r="P4">
        <v>29</v>
      </c>
      <c r="Q4">
        <v>30</v>
      </c>
    </row>
    <row r="5" spans="1:17">
      <c r="A5" s="30" t="s">
        <v>941</v>
      </c>
      <c r="B5" s="18">
        <v>-27000000</v>
      </c>
      <c r="C5" s="18">
        <v>0</v>
      </c>
      <c r="D5" s="3">
        <f t="shared" si="0"/>
        <v>-27000000</v>
      </c>
      <c r="E5" s="20" t="s">
        <v>1026</v>
      </c>
      <c r="F5">
        <v>5</v>
      </c>
      <c r="G5">
        <f t="shared" si="1"/>
        <v>-135000000</v>
      </c>
      <c r="H5">
        <f t="shared" si="2"/>
        <v>0</v>
      </c>
      <c r="I5">
        <f t="shared" si="3"/>
        <v>-135000000</v>
      </c>
      <c r="O5">
        <v>2</v>
      </c>
      <c r="P5">
        <v>28</v>
      </c>
      <c r="Q5">
        <v>29</v>
      </c>
    </row>
    <row r="6" spans="1:17">
      <c r="A6" s="17" t="s">
        <v>1050</v>
      </c>
      <c r="B6" s="18">
        <v>252436</v>
      </c>
      <c r="C6" s="18">
        <v>65510</v>
      </c>
      <c r="D6" s="3">
        <f t="shared" si="0"/>
        <v>186926</v>
      </c>
      <c r="E6" s="19" t="s">
        <v>1052</v>
      </c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8410423</v>
      </c>
      <c r="C24" s="3">
        <f>SUM(C2:C22)</f>
        <v>7551324</v>
      </c>
      <c r="D24" s="3">
        <f>SUM(D2:D22)</f>
        <v>859099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938889110</v>
      </c>
      <c r="H25" s="18">
        <f>SUM(H2:H23)</f>
        <v>243653920</v>
      </c>
      <c r="I25" s="18">
        <f>SUM(I2:I23)</f>
        <v>695235190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7081922</v>
      </c>
      <c r="E30" s="41" t="s">
        <v>95</v>
      </c>
      <c r="G30" s="18">
        <v>252436</v>
      </c>
      <c r="H30" s="18">
        <f>G30*H25/G25</f>
        <v>65510.421085957634</v>
      </c>
      <c r="I30" s="18">
        <f>G30*I25/G25</f>
        <v>186925.57891404236</v>
      </c>
      <c r="O30">
        <v>27</v>
      </c>
      <c r="P30">
        <v>3</v>
      </c>
      <c r="Q30">
        <v>4</v>
      </c>
    </row>
    <row r="31" spans="1:17">
      <c r="D31" s="42">
        <v>-30000</v>
      </c>
      <c r="E31" s="54" t="s">
        <v>94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-102000</v>
      </c>
      <c r="E32" s="41" t="s">
        <v>904</v>
      </c>
      <c r="O32">
        <v>29</v>
      </c>
      <c r="P32">
        <v>1</v>
      </c>
      <c r="Q32">
        <v>2</v>
      </c>
    </row>
    <row r="33" spans="4:17">
      <c r="D33" s="42">
        <v>-163000</v>
      </c>
      <c r="E33" s="41" t="s">
        <v>932</v>
      </c>
      <c r="O33">
        <v>30</v>
      </c>
      <c r="P33">
        <v>0</v>
      </c>
      <c r="Q33">
        <v>1</v>
      </c>
    </row>
    <row r="34" spans="4:17">
      <c r="D34" s="42">
        <v>-150000</v>
      </c>
      <c r="E34" s="41" t="s">
        <v>1024</v>
      </c>
      <c r="P34" t="s">
        <v>60</v>
      </c>
      <c r="Q34" t="s">
        <v>61</v>
      </c>
    </row>
    <row r="35" spans="4:17">
      <c r="D35" s="42">
        <v>200000</v>
      </c>
      <c r="E35" s="41" t="s">
        <v>1042</v>
      </c>
    </row>
    <row r="36" spans="4:17">
      <c r="D36" s="42">
        <v>245000</v>
      </c>
      <c r="E36" s="41" t="s">
        <v>1042</v>
      </c>
    </row>
    <row r="37" spans="4:17">
      <c r="D37" s="7">
        <v>-25000</v>
      </c>
      <c r="E37" s="41" t="s">
        <v>1046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7056922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B30" sqref="B30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1.42578125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1050</v>
      </c>
      <c r="B2" s="3">
        <f>'اسفند 96'!B24</f>
        <v>8410423</v>
      </c>
      <c r="C2" s="1">
        <f>'اسفند 96'!C24</f>
        <v>7551324</v>
      </c>
      <c r="D2" s="3">
        <f>B2-C2</f>
        <v>859099</v>
      </c>
      <c r="E2" s="2" t="s">
        <v>59</v>
      </c>
      <c r="F2">
        <v>30</v>
      </c>
      <c r="G2">
        <f>B2*F2</f>
        <v>252312690</v>
      </c>
      <c r="H2">
        <f>C2*F2</f>
        <v>226539720</v>
      </c>
      <c r="I2">
        <f>D2*F2</f>
        <v>25772970</v>
      </c>
    </row>
    <row r="3" spans="1:17">
      <c r="A3" s="20" t="s">
        <v>1089</v>
      </c>
      <c r="B3" s="18">
        <v>52400000</v>
      </c>
      <c r="C3" s="18">
        <v>0</v>
      </c>
      <c r="D3" s="43">
        <f t="shared" ref="D3:D22" si="0">B3-C3</f>
        <v>52400000</v>
      </c>
      <c r="E3" s="20" t="s">
        <v>1090</v>
      </c>
      <c r="F3">
        <v>23</v>
      </c>
      <c r="G3">
        <f t="shared" ref="G3:G23" si="1">B3*F3</f>
        <v>1205200000</v>
      </c>
      <c r="H3">
        <f t="shared" ref="H3:H23" si="2">C3*F3</f>
        <v>0</v>
      </c>
      <c r="I3">
        <f t="shared" ref="I3:I23" si="3">D3*F3</f>
        <v>1205200000</v>
      </c>
    </row>
    <row r="4" spans="1:17">
      <c r="A4" s="20" t="s">
        <v>1108</v>
      </c>
      <c r="B4" s="18">
        <v>-52000000</v>
      </c>
      <c r="C4" s="18">
        <v>0</v>
      </c>
      <c r="D4" s="3">
        <f t="shared" si="0"/>
        <v>-52000000</v>
      </c>
      <c r="E4" s="11" t="s">
        <v>1112</v>
      </c>
      <c r="F4">
        <v>17</v>
      </c>
      <c r="G4">
        <f t="shared" si="1"/>
        <v>-884000000</v>
      </c>
      <c r="H4">
        <f t="shared" si="2"/>
        <v>0</v>
      </c>
      <c r="I4">
        <f t="shared" si="3"/>
        <v>-884000000</v>
      </c>
      <c r="O4">
        <v>1</v>
      </c>
      <c r="P4">
        <v>30</v>
      </c>
      <c r="Q4">
        <v>31</v>
      </c>
    </row>
    <row r="5" spans="1:17">
      <c r="A5" s="30" t="s">
        <v>1158</v>
      </c>
      <c r="B5" s="18">
        <v>-8000000</v>
      </c>
      <c r="C5" s="18">
        <v>-6772131</v>
      </c>
      <c r="D5" s="3">
        <f t="shared" si="0"/>
        <v>-1227869</v>
      </c>
      <c r="E5" s="20" t="s">
        <v>1026</v>
      </c>
      <c r="F5">
        <v>12</v>
      </c>
      <c r="G5">
        <f t="shared" si="1"/>
        <v>-96000000</v>
      </c>
      <c r="H5">
        <f t="shared" si="2"/>
        <v>-81265572</v>
      </c>
      <c r="I5">
        <f t="shared" si="3"/>
        <v>-14734428</v>
      </c>
      <c r="O5">
        <v>2</v>
      </c>
      <c r="P5">
        <v>29</v>
      </c>
      <c r="Q5">
        <v>30</v>
      </c>
    </row>
    <row r="6" spans="1:17">
      <c r="A6" s="17" t="s">
        <v>1158</v>
      </c>
      <c r="B6" s="18">
        <v>-31230</v>
      </c>
      <c r="C6" s="18">
        <v>0</v>
      </c>
      <c r="D6" s="3">
        <f t="shared" si="0"/>
        <v>-31230</v>
      </c>
      <c r="E6" s="19" t="s">
        <v>1159</v>
      </c>
      <c r="F6">
        <v>12</v>
      </c>
      <c r="G6">
        <f t="shared" si="1"/>
        <v>-374760</v>
      </c>
      <c r="H6">
        <f t="shared" si="2"/>
        <v>0</v>
      </c>
      <c r="I6">
        <f t="shared" si="3"/>
        <v>-374760</v>
      </c>
      <c r="O6">
        <v>3</v>
      </c>
      <c r="P6">
        <v>28</v>
      </c>
      <c r="Q6">
        <v>29</v>
      </c>
    </row>
    <row r="7" spans="1:17">
      <c r="A7" s="136" t="s">
        <v>1257</v>
      </c>
      <c r="B7" s="39">
        <v>130723</v>
      </c>
      <c r="C7" s="39">
        <v>39801</v>
      </c>
      <c r="D7" s="35">
        <f t="shared" si="0"/>
        <v>90922</v>
      </c>
      <c r="E7" s="5" t="s">
        <v>1266</v>
      </c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27</v>
      </c>
      <c r="Q7">
        <v>28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26</v>
      </c>
      <c r="Q8">
        <v>27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25</v>
      </c>
      <c r="Q9">
        <v>26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24</v>
      </c>
      <c r="Q10">
        <v>25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23</v>
      </c>
      <c r="Q11">
        <v>24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22</v>
      </c>
      <c r="Q12">
        <v>23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21</v>
      </c>
      <c r="Q13">
        <v>22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20</v>
      </c>
      <c r="Q14">
        <v>21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19</v>
      </c>
      <c r="Q15">
        <v>20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18</v>
      </c>
      <c r="Q16">
        <v>19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17</v>
      </c>
      <c r="Q17">
        <v>18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16</v>
      </c>
      <c r="Q18">
        <v>17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15</v>
      </c>
      <c r="Q19">
        <v>16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14</v>
      </c>
      <c r="Q20">
        <v>15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13</v>
      </c>
      <c r="Q21">
        <v>14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12</v>
      </c>
      <c r="Q22">
        <v>13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11</v>
      </c>
      <c r="Q23">
        <v>12</v>
      </c>
    </row>
    <row r="24" spans="1:17">
      <c r="A24" s="2" t="s">
        <v>6</v>
      </c>
      <c r="B24" s="3">
        <f>SUM(B2:B22)</f>
        <v>909916</v>
      </c>
      <c r="C24" s="3">
        <f>SUM(C2:C22)</f>
        <v>818994</v>
      </c>
      <c r="D24" s="3">
        <f>SUM(D2:D22)</f>
        <v>90922</v>
      </c>
      <c r="E24" s="2"/>
      <c r="O24">
        <v>21</v>
      </c>
      <c r="P24">
        <v>10</v>
      </c>
      <c r="Q24">
        <v>11</v>
      </c>
    </row>
    <row r="25" spans="1:17">
      <c r="G25" s="18">
        <f>SUM(G2:G23)</f>
        <v>477137930</v>
      </c>
      <c r="H25" s="18">
        <f>SUM(H2:H23)</f>
        <v>145274148</v>
      </c>
      <c r="I25" s="18">
        <f>SUM(I2:I23)</f>
        <v>331863782</v>
      </c>
      <c r="O25">
        <v>22</v>
      </c>
      <c r="P25">
        <v>9</v>
      </c>
      <c r="Q25">
        <v>10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8</v>
      </c>
      <c r="Q26">
        <v>9</v>
      </c>
    </row>
    <row r="27" spans="1:17">
      <c r="O27">
        <v>24</v>
      </c>
      <c r="P27">
        <v>7</v>
      </c>
      <c r="Q27">
        <v>8</v>
      </c>
    </row>
    <row r="28" spans="1:17">
      <c r="F28" t="s">
        <v>25</v>
      </c>
      <c r="O28">
        <v>25</v>
      </c>
      <c r="P28">
        <v>6</v>
      </c>
      <c r="Q28">
        <v>7</v>
      </c>
    </row>
    <row r="29" spans="1:17">
      <c r="D29" s="41"/>
      <c r="E29" s="41" t="s">
        <v>85</v>
      </c>
      <c r="O29">
        <v>26</v>
      </c>
      <c r="P29">
        <v>5</v>
      </c>
      <c r="Q29">
        <v>6</v>
      </c>
    </row>
    <row r="30" spans="1:17">
      <c r="D30" s="42">
        <v>7056922</v>
      </c>
      <c r="E30" s="41" t="s">
        <v>95</v>
      </c>
      <c r="G30" s="18">
        <f>G25*100000/365000000</f>
        <v>130722.72054794521</v>
      </c>
      <c r="H30" s="18">
        <f>G30*H25/G25</f>
        <v>39801.136438356159</v>
      </c>
      <c r="I30" s="18">
        <f>G30*I25/G25</f>
        <v>90921.58410958905</v>
      </c>
      <c r="O30">
        <v>27</v>
      </c>
      <c r="P30">
        <v>4</v>
      </c>
      <c r="Q30">
        <v>5</v>
      </c>
    </row>
    <row r="31" spans="1:17">
      <c r="D31" s="42">
        <v>-200000</v>
      </c>
      <c r="E31" s="54" t="s">
        <v>1092</v>
      </c>
      <c r="G31" s="9" t="s">
        <v>1053</v>
      </c>
      <c r="H31" s="9" t="s">
        <v>38</v>
      </c>
      <c r="I31" s="9" t="s">
        <v>39</v>
      </c>
      <c r="O31">
        <v>28</v>
      </c>
      <c r="P31">
        <v>3</v>
      </c>
      <c r="Q31">
        <v>4</v>
      </c>
    </row>
    <row r="32" spans="1:17">
      <c r="B32" s="7"/>
      <c r="D32" s="42">
        <v>-25500</v>
      </c>
      <c r="E32" s="41" t="s">
        <v>1068</v>
      </c>
      <c r="O32">
        <v>29</v>
      </c>
      <c r="P32">
        <v>2</v>
      </c>
      <c r="Q32">
        <v>3</v>
      </c>
    </row>
    <row r="33" spans="4:17">
      <c r="D33" s="42">
        <v>-200000</v>
      </c>
      <c r="E33" s="41" t="s">
        <v>1091</v>
      </c>
      <c r="O33">
        <v>30</v>
      </c>
      <c r="P33">
        <v>1</v>
      </c>
      <c r="Q33">
        <v>2</v>
      </c>
    </row>
    <row r="34" spans="4:17">
      <c r="D34" s="42">
        <v>100000</v>
      </c>
      <c r="E34" s="41" t="s">
        <v>1134</v>
      </c>
      <c r="O34">
        <v>31</v>
      </c>
      <c r="P34">
        <v>0</v>
      </c>
      <c r="Q34">
        <v>1</v>
      </c>
    </row>
    <row r="35" spans="4:17">
      <c r="D35" s="42">
        <v>500000</v>
      </c>
      <c r="E35" s="41" t="s">
        <v>1167</v>
      </c>
      <c r="P35" t="s">
        <v>60</v>
      </c>
      <c r="Q35" t="s">
        <v>61</v>
      </c>
    </row>
    <row r="36" spans="4:17">
      <c r="D36" s="42">
        <v>79552</v>
      </c>
      <c r="E36" s="41" t="s">
        <v>1168</v>
      </c>
    </row>
    <row r="37" spans="4:17">
      <c r="D37" s="7">
        <v>-65500</v>
      </c>
      <c r="E37" s="41" t="s">
        <v>1183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7245474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7"/>
  <sheetViews>
    <sheetView zoomScaleNormal="100" workbookViewId="0">
      <pane ySplit="1" topLeftCell="A32" activePane="bottomLeft" state="frozen"/>
      <selection pane="bottomLeft" activeCell="I62" sqref="I62"/>
    </sheetView>
  </sheetViews>
  <sheetFormatPr defaultRowHeight="15"/>
  <cols>
    <col min="1" max="1" width="10.7109375" bestFit="1" customWidth="1"/>
    <col min="2" max="2" width="17.85546875" bestFit="1" customWidth="1"/>
    <col min="3" max="3" width="16.140625" bestFit="1" customWidth="1"/>
    <col min="4" max="4" width="11.42578125" customWidth="1"/>
    <col min="5" max="5" width="15.140625" bestFit="1" customWidth="1"/>
    <col min="6" max="6" width="18.7109375" customWidth="1"/>
    <col min="7" max="7" width="9" bestFit="1" customWidth="1"/>
    <col min="8" max="8" width="14.5703125" bestFit="1" customWidth="1"/>
    <col min="9" max="9" width="16.140625" bestFit="1" customWidth="1"/>
    <col min="10" max="10" width="10.28515625" customWidth="1"/>
    <col min="11" max="11" width="16.140625" bestFit="1" customWidth="1"/>
    <col min="12" max="12" width="19.85546875" bestFit="1" customWidth="1"/>
    <col min="13" max="13" width="17" bestFit="1" customWidth="1"/>
    <col min="14" max="15" width="8.85546875" bestFit="1" customWidth="1"/>
    <col min="16" max="16" width="11.42578125" style="102" bestFit="1" customWidth="1"/>
    <col min="17" max="18" width="15.85546875" bestFit="1" customWidth="1"/>
    <col min="19" max="19" width="15.85546875" style="102" customWidth="1"/>
    <col min="20" max="20" width="27" bestFit="1" customWidth="1"/>
    <col min="21" max="21" width="16.140625" bestFit="1" customWidth="1"/>
    <col min="22" max="22" width="37" bestFit="1" customWidth="1"/>
    <col min="23" max="23" width="9.7109375" bestFit="1" customWidth="1"/>
    <col min="24" max="24" width="6.5703125" bestFit="1" customWidth="1"/>
    <col min="25" max="25" width="17.85546875" bestFit="1" customWidth="1"/>
    <col min="26" max="26" width="15.140625" bestFit="1" customWidth="1"/>
    <col min="27" max="27" width="18.85546875" bestFit="1" customWidth="1"/>
    <col min="28" max="28" width="15.140625" bestFit="1" customWidth="1"/>
    <col min="29" max="29" width="15.140625" style="102" bestFit="1" customWidth="1"/>
    <col min="30" max="30" width="14.140625" bestFit="1" customWidth="1"/>
    <col min="31" max="31" width="14.5703125" bestFit="1" customWidth="1"/>
    <col min="32" max="32" width="17.28515625" bestFit="1" customWidth="1"/>
    <col min="33" max="33" width="17.5703125" bestFit="1" customWidth="1"/>
    <col min="34" max="34" width="15.28515625" style="102" bestFit="1" customWidth="1"/>
    <col min="35" max="35" width="12.42578125" bestFit="1" customWidth="1"/>
    <col min="36" max="36" width="15.140625" bestFit="1" customWidth="1"/>
    <col min="37" max="37" width="14.140625" style="102" bestFit="1" customWidth="1"/>
    <col min="38" max="38" width="16.28515625" customWidth="1"/>
  </cols>
  <sheetData>
    <row r="1" spans="1:38">
      <c r="A1" s="11" t="s">
        <v>946</v>
      </c>
      <c r="B1" s="11" t="s">
        <v>943</v>
      </c>
      <c r="C1" s="11" t="s">
        <v>944</v>
      </c>
      <c r="D1" s="11" t="s">
        <v>955</v>
      </c>
      <c r="E1" s="11" t="s">
        <v>957</v>
      </c>
      <c r="F1" s="11" t="s">
        <v>947</v>
      </c>
      <c r="G1" s="11" t="s">
        <v>183</v>
      </c>
      <c r="H1" s="11" t="s">
        <v>962</v>
      </c>
      <c r="I1" s="11" t="s">
        <v>952</v>
      </c>
      <c r="J1" s="11" t="s">
        <v>958</v>
      </c>
      <c r="K1" s="11" t="s">
        <v>959</v>
      </c>
      <c r="L1" s="11" t="s">
        <v>953</v>
      </c>
      <c r="M1" s="11" t="s">
        <v>960</v>
      </c>
      <c r="N1" s="11" t="s">
        <v>5</v>
      </c>
      <c r="O1" s="11" t="s">
        <v>483</v>
      </c>
      <c r="P1" s="105" t="s">
        <v>4</v>
      </c>
      <c r="Q1" s="11" t="s">
        <v>39</v>
      </c>
      <c r="R1" s="11" t="s">
        <v>1030</v>
      </c>
      <c r="S1" s="105" t="s">
        <v>38</v>
      </c>
      <c r="T1" s="11" t="s">
        <v>963</v>
      </c>
      <c r="U1" s="74" t="s">
        <v>1047</v>
      </c>
      <c r="AE1" s="11" t="s">
        <v>962</v>
      </c>
      <c r="AF1" s="25"/>
    </row>
    <row r="2" spans="1:38">
      <c r="A2" s="75" t="s">
        <v>933</v>
      </c>
      <c r="B2" s="75" t="s">
        <v>954</v>
      </c>
      <c r="C2" s="75">
        <v>400</v>
      </c>
      <c r="D2" s="75" t="s">
        <v>61</v>
      </c>
      <c r="E2" s="76">
        <v>96959</v>
      </c>
      <c r="F2" s="76">
        <v>39275391</v>
      </c>
      <c r="G2" s="75">
        <v>0</v>
      </c>
      <c r="H2" s="75">
        <v>21</v>
      </c>
      <c r="I2" s="76">
        <f t="shared" ref="I2:I32" si="0">F2*G2*($AE$2-H2)/(36500)</f>
        <v>0</v>
      </c>
      <c r="J2" s="75">
        <v>7.2499999999999995E-2</v>
      </c>
      <c r="K2" s="76">
        <f t="shared" ref="K2:K11" si="1">C2*E2*J2/100</f>
        <v>28118.11</v>
      </c>
      <c r="L2" s="75">
        <f>(E2*(1+J2/100)+I2/C2)/(1-J3/100)-(U2/C2)*(G2/365)*($AE$2/100)</f>
        <v>97099.692552100285</v>
      </c>
      <c r="M2" s="75"/>
      <c r="N2" s="75"/>
      <c r="O2" s="75"/>
      <c r="P2" s="108"/>
      <c r="Q2" s="75"/>
      <c r="R2" s="75"/>
      <c r="S2" s="108"/>
      <c r="T2" s="75"/>
      <c r="U2" s="76">
        <f>C2*E2+K2-F2</f>
        <v>-463672.8900000006</v>
      </c>
      <c r="W2" s="102"/>
      <c r="X2" s="102"/>
      <c r="Y2" s="102"/>
      <c r="Z2" s="102"/>
      <c r="AA2" s="102"/>
      <c r="AB2" s="102"/>
      <c r="AD2" s="102"/>
      <c r="AE2" s="105">
        <v>20</v>
      </c>
      <c r="AF2" s="107"/>
      <c r="AG2" s="102"/>
      <c r="AI2" s="102"/>
      <c r="AJ2" s="102"/>
      <c r="AL2" s="102"/>
    </row>
    <row r="3" spans="1:38">
      <c r="A3" s="75" t="s">
        <v>933</v>
      </c>
      <c r="B3" s="75" t="s">
        <v>954</v>
      </c>
      <c r="C3" s="75">
        <v>400</v>
      </c>
      <c r="D3" s="75" t="s">
        <v>956</v>
      </c>
      <c r="E3" s="76">
        <v>99999</v>
      </c>
      <c r="F3" s="76">
        <v>40434473</v>
      </c>
      <c r="G3" s="75"/>
      <c r="H3" s="75">
        <v>21</v>
      </c>
      <c r="I3" s="76">
        <f t="shared" si="0"/>
        <v>0</v>
      </c>
      <c r="J3" s="75">
        <v>7.2499999999999995E-2</v>
      </c>
      <c r="K3" s="76">
        <f t="shared" si="1"/>
        <v>28999.71</v>
      </c>
      <c r="L3" s="75">
        <v>1</v>
      </c>
      <c r="M3" s="77">
        <f>F3-F2</f>
        <v>1159082</v>
      </c>
      <c r="N3" s="75">
        <v>400</v>
      </c>
      <c r="O3" s="75">
        <f>C2-N3</f>
        <v>0</v>
      </c>
      <c r="P3" s="108">
        <v>0</v>
      </c>
      <c r="Q3" s="77">
        <f>M3*N3/C2</f>
        <v>1159082</v>
      </c>
      <c r="R3" s="77">
        <f>M3*O3/C2</f>
        <v>0</v>
      </c>
      <c r="S3" s="110">
        <f>M3*P3/C2</f>
        <v>0</v>
      </c>
      <c r="T3" s="75"/>
      <c r="U3" s="76">
        <f>-C3*E3+K3+F3</f>
        <v>463872.71000000089</v>
      </c>
      <c r="W3" s="113" t="s">
        <v>180</v>
      </c>
      <c r="X3" s="113" t="s">
        <v>949</v>
      </c>
      <c r="Y3" s="113" t="s">
        <v>267</v>
      </c>
      <c r="Z3" s="113" t="s">
        <v>8</v>
      </c>
      <c r="AA3" s="113" t="s">
        <v>5</v>
      </c>
      <c r="AB3" s="113" t="s">
        <v>483</v>
      </c>
      <c r="AC3" s="113" t="s">
        <v>4</v>
      </c>
      <c r="AD3" s="113" t="s">
        <v>183</v>
      </c>
      <c r="AE3" s="113" t="s">
        <v>950</v>
      </c>
      <c r="AF3" s="113" t="s">
        <v>1036</v>
      </c>
      <c r="AG3" s="113" t="s">
        <v>1037</v>
      </c>
      <c r="AH3" s="113" t="s">
        <v>1160</v>
      </c>
      <c r="AI3" s="113" t="s">
        <v>1038</v>
      </c>
      <c r="AJ3" s="113" t="s">
        <v>1039</v>
      </c>
      <c r="AK3" s="113" t="s">
        <v>1161</v>
      </c>
      <c r="AL3" s="113" t="s">
        <v>951</v>
      </c>
    </row>
    <row r="4" spans="1:38">
      <c r="A4" s="78" t="s">
        <v>933</v>
      </c>
      <c r="B4" s="78" t="s">
        <v>945</v>
      </c>
      <c r="C4" s="78">
        <v>3</v>
      </c>
      <c r="D4" s="78" t="s">
        <v>61</v>
      </c>
      <c r="E4" s="79">
        <v>80100</v>
      </c>
      <c r="F4" s="79">
        <v>240474</v>
      </c>
      <c r="G4" s="78">
        <v>5</v>
      </c>
      <c r="H4" s="78">
        <v>0</v>
      </c>
      <c r="I4" s="79">
        <f>F4*G4*($AE$2-H4)/(36500)</f>
        <v>658.83287671232881</v>
      </c>
      <c r="J4" s="78">
        <v>7.2499999999999995E-2</v>
      </c>
      <c r="K4" s="79">
        <f t="shared" si="1"/>
        <v>174.2175</v>
      </c>
      <c r="L4" s="78">
        <f>(E4*(1+J4/100)+I4/C4)/(1-J5/100)-(U4/C4)*(G4/365)*($AE$2/100)</f>
        <v>80435.999558584095</v>
      </c>
      <c r="M4" s="80"/>
      <c r="N4" s="78"/>
      <c r="O4" s="78"/>
      <c r="P4" s="111"/>
      <c r="Q4" s="80"/>
      <c r="R4" s="80"/>
      <c r="S4" s="112"/>
      <c r="T4" s="78"/>
      <c r="U4" s="79">
        <v>0</v>
      </c>
      <c r="W4" s="113"/>
      <c r="X4" s="113"/>
      <c r="Y4" s="115"/>
      <c r="Z4" s="113"/>
      <c r="AA4" s="115"/>
      <c r="AB4" s="116"/>
      <c r="AC4" s="116"/>
      <c r="AD4" s="113"/>
      <c r="AE4" s="115"/>
      <c r="AF4" s="115"/>
      <c r="AG4" s="115"/>
      <c r="AH4" s="115"/>
      <c r="AI4" s="115"/>
      <c r="AJ4" s="115"/>
      <c r="AK4" s="115"/>
      <c r="AL4" s="116"/>
    </row>
    <row r="5" spans="1:38">
      <c r="A5" s="78" t="s">
        <v>1033</v>
      </c>
      <c r="B5" s="78" t="s">
        <v>945</v>
      </c>
      <c r="C5" s="78">
        <v>3</v>
      </c>
      <c r="D5" s="78" t="s">
        <v>956</v>
      </c>
      <c r="E5" s="79">
        <v>81000</v>
      </c>
      <c r="F5" s="79">
        <v>243596</v>
      </c>
      <c r="G5" s="78">
        <v>0</v>
      </c>
      <c r="H5" s="78">
        <v>0</v>
      </c>
      <c r="I5" s="79"/>
      <c r="J5" s="78">
        <v>7.2499999999999995E-2</v>
      </c>
      <c r="K5" s="79">
        <f t="shared" si="1"/>
        <v>176.17500000000001</v>
      </c>
      <c r="L5" s="78">
        <v>2</v>
      </c>
      <c r="M5" s="80">
        <f>F5-F4</f>
        <v>3122</v>
      </c>
      <c r="N5" s="78">
        <v>1.5</v>
      </c>
      <c r="O5" s="78">
        <v>1.5</v>
      </c>
      <c r="P5" s="111">
        <v>0</v>
      </c>
      <c r="Q5" s="80">
        <f>M5*N5/C4</f>
        <v>1561</v>
      </c>
      <c r="R5" s="80">
        <f>M5*O5/C4</f>
        <v>1561</v>
      </c>
      <c r="S5" s="112">
        <f>M5*P5/C4</f>
        <v>0</v>
      </c>
      <c r="T5" s="78"/>
      <c r="U5" s="79">
        <v>0</v>
      </c>
      <c r="W5" s="113"/>
      <c r="X5" s="113"/>
      <c r="Y5" s="115"/>
      <c r="Z5" s="113"/>
      <c r="AA5" s="115"/>
      <c r="AB5" s="116"/>
      <c r="AC5" s="116"/>
      <c r="AD5" s="113"/>
      <c r="AE5" s="115"/>
      <c r="AF5" s="115"/>
      <c r="AG5" s="115"/>
      <c r="AH5" s="115"/>
      <c r="AI5" s="115"/>
      <c r="AJ5" s="115"/>
      <c r="AK5" s="115"/>
      <c r="AL5" s="116"/>
    </row>
    <row r="6" spans="1:38">
      <c r="A6" s="75" t="s">
        <v>933</v>
      </c>
      <c r="B6" s="75" t="s">
        <v>945</v>
      </c>
      <c r="C6" s="75">
        <v>497</v>
      </c>
      <c r="D6" s="75" t="s">
        <v>61</v>
      </c>
      <c r="E6" s="76">
        <v>80100</v>
      </c>
      <c r="F6" s="76">
        <v>39838611</v>
      </c>
      <c r="G6" s="75">
        <v>6</v>
      </c>
      <c r="H6" s="75">
        <v>0</v>
      </c>
      <c r="I6" s="76">
        <f>F6*G6*($AE$2-H6)/(36500)</f>
        <v>130976.25534246575</v>
      </c>
      <c r="J6" s="75">
        <v>7.2499999999999995E-2</v>
      </c>
      <c r="K6" s="76">
        <f t="shared" si="1"/>
        <v>28862.032500000001</v>
      </c>
      <c r="L6" s="75">
        <f>(E6*(1+J6/100)+I6/C6)/(1-J7/100)-(U6/C6)*(G6/365)*($AE$2/100)</f>
        <v>80479.954179743028</v>
      </c>
      <c r="M6" s="75"/>
      <c r="N6" s="75"/>
      <c r="O6" s="75"/>
      <c r="P6" s="108"/>
      <c r="Q6" s="75"/>
      <c r="R6" s="75"/>
      <c r="S6" s="108"/>
      <c r="T6" s="76">
        <v>81000</v>
      </c>
      <c r="U6" s="76">
        <v>0</v>
      </c>
      <c r="W6" s="113"/>
      <c r="X6" s="113"/>
      <c r="Y6" s="115"/>
      <c r="Z6" s="113"/>
      <c r="AA6" s="115"/>
      <c r="AB6" s="116"/>
      <c r="AC6" s="116"/>
      <c r="AD6" s="113"/>
      <c r="AE6" s="115"/>
      <c r="AF6" s="115"/>
      <c r="AG6" s="115"/>
      <c r="AH6" s="115"/>
      <c r="AI6" s="115"/>
      <c r="AJ6" s="115"/>
      <c r="AK6" s="115"/>
      <c r="AL6" s="116"/>
    </row>
    <row r="7" spans="1:38">
      <c r="A7" s="75" t="s">
        <v>1044</v>
      </c>
      <c r="B7" s="75" t="s">
        <v>945</v>
      </c>
      <c r="C7" s="75">
        <v>497</v>
      </c>
      <c r="D7" s="75" t="s">
        <v>956</v>
      </c>
      <c r="E7" s="76">
        <v>81400</v>
      </c>
      <c r="F7" s="76">
        <v>40426469</v>
      </c>
      <c r="G7" s="75">
        <v>0</v>
      </c>
      <c r="H7" s="75">
        <v>0</v>
      </c>
      <c r="I7" s="76">
        <f>F7*G7*($AE$2-H7)/(36500)</f>
        <v>0</v>
      </c>
      <c r="J7" s="75">
        <v>7.2499999999999995E-2</v>
      </c>
      <c r="K7" s="76">
        <f t="shared" si="1"/>
        <v>29330.455000000002</v>
      </c>
      <c r="L7" s="75">
        <v>9</v>
      </c>
      <c r="M7" s="77">
        <f>F7-F6</f>
        <v>587858</v>
      </c>
      <c r="N7" s="75">
        <v>248.5</v>
      </c>
      <c r="O7" s="75">
        <f>C6-N7</f>
        <v>248.5</v>
      </c>
      <c r="P7" s="108">
        <v>0</v>
      </c>
      <c r="Q7" s="77">
        <f>M7*N7/C6</f>
        <v>293929</v>
      </c>
      <c r="R7" s="77">
        <f>M7*O7/C6</f>
        <v>293929</v>
      </c>
      <c r="S7" s="110">
        <f>M7*P7/C6</f>
        <v>0</v>
      </c>
      <c r="T7" s="75"/>
      <c r="U7" s="76">
        <v>0</v>
      </c>
      <c r="W7" s="113"/>
      <c r="X7" s="113"/>
      <c r="Y7" s="115"/>
      <c r="Z7" s="113"/>
      <c r="AA7" s="115"/>
      <c r="AB7" s="116"/>
      <c r="AC7" s="116"/>
      <c r="AD7" s="113"/>
      <c r="AE7" s="115"/>
      <c r="AF7" s="115"/>
      <c r="AG7" s="115"/>
      <c r="AH7" s="115"/>
      <c r="AI7" s="115"/>
      <c r="AJ7" s="115"/>
      <c r="AK7" s="115"/>
      <c r="AL7" s="116"/>
    </row>
    <row r="8" spans="1:38">
      <c r="A8" s="78" t="s">
        <v>942</v>
      </c>
      <c r="B8" s="78" t="s">
        <v>961</v>
      </c>
      <c r="C8" s="78">
        <v>300</v>
      </c>
      <c r="D8" s="78" t="s">
        <v>61</v>
      </c>
      <c r="E8" s="79">
        <v>97219</v>
      </c>
      <c r="F8" s="79">
        <v>29203853</v>
      </c>
      <c r="G8" s="78">
        <v>3</v>
      </c>
      <c r="H8" s="78">
        <v>21</v>
      </c>
      <c r="I8" s="79">
        <f t="shared" si="0"/>
        <v>-2400.3166849315066</v>
      </c>
      <c r="J8" s="78">
        <v>7.2499999999999995E-2</v>
      </c>
      <c r="K8" s="79">
        <f t="shared" si="1"/>
        <v>21145.1325</v>
      </c>
      <c r="L8" s="78">
        <f>(E8*(1+J8/100)+I8/C8)/(1-J9/100)-(U8/C8)*(G8/365)*($AE$2/100)</f>
        <v>97352.15615882774</v>
      </c>
      <c r="M8" s="78"/>
      <c r="N8" s="78"/>
      <c r="O8" s="78"/>
      <c r="P8" s="111"/>
      <c r="Q8" s="78"/>
      <c r="R8" s="78"/>
      <c r="S8" s="111"/>
      <c r="T8" s="79"/>
      <c r="U8" s="79">
        <f>C8*E8+K8-F8</f>
        <v>-17007.867499999702</v>
      </c>
      <c r="W8" s="113"/>
      <c r="X8" s="113"/>
      <c r="Y8" s="115"/>
      <c r="Z8" s="113"/>
      <c r="AA8" s="115"/>
      <c r="AB8" s="116"/>
      <c r="AC8" s="116"/>
      <c r="AD8" s="113"/>
      <c r="AE8" s="115"/>
      <c r="AF8" s="115"/>
      <c r="AG8" s="115"/>
      <c r="AH8" s="115"/>
      <c r="AI8" s="115"/>
      <c r="AJ8" s="115"/>
      <c r="AK8" s="115"/>
      <c r="AL8" s="116"/>
    </row>
    <row r="9" spans="1:38">
      <c r="A9" s="78" t="s">
        <v>941</v>
      </c>
      <c r="B9" s="78" t="s">
        <v>961</v>
      </c>
      <c r="C9" s="78">
        <v>300</v>
      </c>
      <c r="D9" s="78" t="s">
        <v>956</v>
      </c>
      <c r="E9" s="79">
        <v>98000</v>
      </c>
      <c r="F9" s="79">
        <v>29446055</v>
      </c>
      <c r="G9" s="78">
        <v>0</v>
      </c>
      <c r="H9" s="78">
        <v>0</v>
      </c>
      <c r="I9" s="79">
        <f t="shared" si="0"/>
        <v>0</v>
      </c>
      <c r="J9" s="78">
        <v>7.2499999999999995E-2</v>
      </c>
      <c r="K9" s="79">
        <f t="shared" si="1"/>
        <v>21315</v>
      </c>
      <c r="L9" s="78">
        <v>3</v>
      </c>
      <c r="M9" s="80">
        <f>F9-F8</f>
        <v>242202</v>
      </c>
      <c r="N9" s="78">
        <v>300</v>
      </c>
      <c r="O9" s="78">
        <f>C8-N9</f>
        <v>0</v>
      </c>
      <c r="P9" s="111">
        <v>0</v>
      </c>
      <c r="Q9" s="80">
        <f>M9*N9/C8</f>
        <v>242202</v>
      </c>
      <c r="R9" s="80">
        <f>M9*O9/C8</f>
        <v>0</v>
      </c>
      <c r="S9" s="112">
        <f>M9*P9/C8</f>
        <v>0</v>
      </c>
      <c r="T9" s="79"/>
      <c r="U9" s="79">
        <f t="shared" ref="U9" si="2">-C9*E9+K9+F9</f>
        <v>67370</v>
      </c>
      <c r="W9" s="113"/>
      <c r="X9" s="113"/>
      <c r="Y9" s="115"/>
      <c r="Z9" s="113"/>
      <c r="AA9" s="113"/>
      <c r="AB9" s="113"/>
      <c r="AC9" s="113"/>
      <c r="AD9" s="113"/>
      <c r="AE9" s="115"/>
      <c r="AF9" s="115"/>
      <c r="AG9" s="115"/>
      <c r="AH9" s="115"/>
      <c r="AI9" s="115"/>
      <c r="AJ9" s="115"/>
      <c r="AK9" s="115"/>
      <c r="AL9" s="116"/>
    </row>
    <row r="10" spans="1:38">
      <c r="A10" s="75" t="s">
        <v>942</v>
      </c>
      <c r="B10" s="75" t="s">
        <v>961</v>
      </c>
      <c r="C10" s="75">
        <v>100</v>
      </c>
      <c r="D10" s="75" t="s">
        <v>61</v>
      </c>
      <c r="E10" s="76">
        <v>97219</v>
      </c>
      <c r="F10" s="76">
        <v>9734617</v>
      </c>
      <c r="G10" s="75">
        <v>5</v>
      </c>
      <c r="H10" s="75">
        <v>21</v>
      </c>
      <c r="I10" s="76">
        <f>F10*G10*($AE$2-H10)/(36500)</f>
        <v>-1333.5091780821917</v>
      </c>
      <c r="J10" s="75">
        <v>7.2499999999999995E-2</v>
      </c>
      <c r="K10" s="76">
        <f t="shared" si="1"/>
        <v>7048.3774999999996</v>
      </c>
      <c r="L10" s="75">
        <f>(E10*(1+J10/100)+I10/C10)/(1-J11/100)-(U10/C10)*(G10/365)*($AE$2/100)</f>
        <v>97346.880363612901</v>
      </c>
      <c r="M10" s="75"/>
      <c r="N10" s="75"/>
      <c r="O10" s="75"/>
      <c r="P10" s="108"/>
      <c r="Q10" s="77"/>
      <c r="R10" s="77"/>
      <c r="S10" s="110"/>
      <c r="T10" s="75"/>
      <c r="U10" s="76">
        <f t="shared" ref="U10" si="3">C10*E10+K10-F10</f>
        <v>-5668.6225000005215</v>
      </c>
      <c r="W10" s="113"/>
      <c r="X10" s="113"/>
      <c r="Y10" s="115"/>
      <c r="Z10" s="113"/>
      <c r="AA10" s="113"/>
      <c r="AB10" s="113"/>
      <c r="AC10" s="113"/>
      <c r="AD10" s="113"/>
      <c r="AE10" s="115"/>
      <c r="AF10" s="115"/>
      <c r="AG10" s="115"/>
      <c r="AH10" s="115"/>
      <c r="AI10" s="115"/>
      <c r="AJ10" s="115"/>
      <c r="AK10" s="115"/>
      <c r="AL10" s="116"/>
    </row>
    <row r="11" spans="1:38">
      <c r="A11" s="75" t="s">
        <v>1044</v>
      </c>
      <c r="B11" s="75" t="s">
        <v>961</v>
      </c>
      <c r="C11" s="75">
        <v>100</v>
      </c>
      <c r="D11" s="75" t="s">
        <v>956</v>
      </c>
      <c r="E11" s="76">
        <v>99500</v>
      </c>
      <c r="F11" s="76">
        <v>9976490</v>
      </c>
      <c r="G11" s="75">
        <v>0</v>
      </c>
      <c r="H11" s="75"/>
      <c r="I11" s="76"/>
      <c r="J11" s="75">
        <v>7.2499999999999995E-2</v>
      </c>
      <c r="K11" s="76">
        <f t="shared" si="1"/>
        <v>7213.75</v>
      </c>
      <c r="L11" s="75">
        <v>4</v>
      </c>
      <c r="M11" s="77">
        <f>F11-F10</f>
        <v>241873</v>
      </c>
      <c r="N11" s="75">
        <v>50</v>
      </c>
      <c r="O11" s="75">
        <v>50</v>
      </c>
      <c r="P11" s="108">
        <v>0</v>
      </c>
      <c r="Q11" s="77">
        <f>M11*N11/C10</f>
        <v>120936.5</v>
      </c>
      <c r="R11" s="77">
        <f>M11*O11/C10</f>
        <v>120936.5</v>
      </c>
      <c r="S11" s="110">
        <f>M11*P11/C10</f>
        <v>0</v>
      </c>
      <c r="T11" s="75"/>
      <c r="U11" s="76">
        <f t="shared" ref="U11" si="4">-C11*E11+K11+F11</f>
        <v>33703.75</v>
      </c>
      <c r="W11" s="113"/>
      <c r="X11" s="113"/>
      <c r="Y11" s="113"/>
      <c r="Z11" s="113"/>
      <c r="AA11" s="113"/>
      <c r="AB11" s="113"/>
      <c r="AC11" s="113"/>
      <c r="AD11" s="113"/>
      <c r="AE11" s="113"/>
      <c r="AF11" s="115"/>
      <c r="AG11" s="113"/>
      <c r="AH11" s="113"/>
      <c r="AI11" s="115"/>
      <c r="AJ11" s="115"/>
      <c r="AK11" s="115"/>
      <c r="AL11" s="116"/>
    </row>
    <row r="12" spans="1:38">
      <c r="A12" s="78" t="s">
        <v>941</v>
      </c>
      <c r="B12" s="78" t="s">
        <v>1023</v>
      </c>
      <c r="C12" s="78">
        <v>200</v>
      </c>
      <c r="D12" s="78" t="s">
        <v>61</v>
      </c>
      <c r="E12" s="79">
        <v>70000</v>
      </c>
      <c r="F12" s="79">
        <v>14010149</v>
      </c>
      <c r="G12" s="78">
        <v>0</v>
      </c>
      <c r="H12" s="78">
        <v>0</v>
      </c>
      <c r="I12" s="79">
        <f t="shared" si="0"/>
        <v>0</v>
      </c>
      <c r="J12" s="78">
        <v>7.2499999999999995E-2</v>
      </c>
      <c r="K12" s="79">
        <f t="shared" ref="K12:K35" si="5">C12*E12*J12/100</f>
        <v>10149.999999999998</v>
      </c>
      <c r="L12" s="78">
        <f>(E12*(1+J12/100)+I12/C12)/(1-J13/100)-(U12/C12)*(G12/365)*($AE$2/100)</f>
        <v>70101.573640889648</v>
      </c>
      <c r="M12" s="78"/>
      <c r="N12" s="78"/>
      <c r="O12" s="78"/>
      <c r="P12" s="111"/>
      <c r="Q12" s="78"/>
      <c r="R12" s="78"/>
      <c r="S12" s="111"/>
      <c r="T12" s="78"/>
      <c r="U12" s="79">
        <v>0</v>
      </c>
      <c r="W12" s="113"/>
      <c r="X12" s="113"/>
      <c r="Y12" s="116"/>
      <c r="Z12" s="113"/>
      <c r="AA12" s="116"/>
      <c r="AB12" s="116"/>
      <c r="AC12" s="116"/>
      <c r="AD12" s="113"/>
      <c r="AE12" s="116"/>
      <c r="AF12" s="116"/>
      <c r="AG12" s="116"/>
      <c r="AH12" s="116"/>
      <c r="AI12" s="116"/>
      <c r="AJ12" s="116"/>
      <c r="AK12" s="116"/>
      <c r="AL12" s="116"/>
    </row>
    <row r="13" spans="1:38">
      <c r="A13" s="78" t="s">
        <v>941</v>
      </c>
      <c r="B13" s="78" t="s">
        <v>1023</v>
      </c>
      <c r="C13" s="78">
        <v>200</v>
      </c>
      <c r="D13" s="78" t="s">
        <v>956</v>
      </c>
      <c r="E13" s="79">
        <v>70488</v>
      </c>
      <c r="F13" s="79">
        <v>14087559</v>
      </c>
      <c r="G13" s="78">
        <v>0</v>
      </c>
      <c r="H13" s="78">
        <v>0</v>
      </c>
      <c r="I13" s="79">
        <f t="shared" si="0"/>
        <v>0</v>
      </c>
      <c r="J13" s="78">
        <v>7.2499999999999995E-2</v>
      </c>
      <c r="K13" s="79">
        <f t="shared" si="5"/>
        <v>10220.759999999998</v>
      </c>
      <c r="L13" s="78">
        <v>5</v>
      </c>
      <c r="M13" s="80">
        <f>F13-F12</f>
        <v>77410</v>
      </c>
      <c r="N13" s="78">
        <v>100</v>
      </c>
      <c r="O13" s="78">
        <f>C12-N13</f>
        <v>100</v>
      </c>
      <c r="P13" s="111">
        <v>0</v>
      </c>
      <c r="Q13" s="80">
        <f>M13*N13/C12</f>
        <v>38705</v>
      </c>
      <c r="R13" s="80">
        <f>M13*O13/C12</f>
        <v>38705</v>
      </c>
      <c r="S13" s="112">
        <f>M13*P13/C12</f>
        <v>0</v>
      </c>
      <c r="T13" s="78"/>
      <c r="U13" s="79">
        <v>0</v>
      </c>
      <c r="W13" s="102"/>
      <c r="X13" s="102"/>
      <c r="Y13" s="102"/>
      <c r="Z13" s="102"/>
      <c r="AA13" s="102"/>
      <c r="AB13" s="102"/>
      <c r="AD13" s="102"/>
      <c r="AE13" s="102"/>
      <c r="AF13" s="102"/>
      <c r="AG13" s="102"/>
      <c r="AI13" s="102"/>
      <c r="AJ13" s="102"/>
      <c r="AL13" s="102"/>
    </row>
    <row r="14" spans="1:38">
      <c r="A14" s="75" t="s">
        <v>941</v>
      </c>
      <c r="B14" s="75" t="s">
        <v>971</v>
      </c>
      <c r="C14" s="75">
        <v>200</v>
      </c>
      <c r="D14" s="75" t="s">
        <v>61</v>
      </c>
      <c r="E14" s="76">
        <v>83000</v>
      </c>
      <c r="F14" s="76">
        <v>17464390</v>
      </c>
      <c r="G14" s="75">
        <v>0</v>
      </c>
      <c r="H14" s="75">
        <v>15</v>
      </c>
      <c r="I14" s="76">
        <f t="shared" si="0"/>
        <v>0</v>
      </c>
      <c r="J14" s="75">
        <v>7.2499999999999995E-2</v>
      </c>
      <c r="K14" s="76">
        <f t="shared" si="5"/>
        <v>12035</v>
      </c>
      <c r="L14" s="75">
        <f>(E14*(1+J14/100)+I14/C14)/(1-J15/100)-(U14/C14)*(G14/365)*($AE$2/100)</f>
        <v>83120.437317054864</v>
      </c>
      <c r="M14" s="75"/>
      <c r="N14" s="75"/>
      <c r="O14" s="75"/>
      <c r="P14" s="108"/>
      <c r="Q14" s="75"/>
      <c r="R14" s="75"/>
      <c r="S14" s="108"/>
      <c r="T14" s="75"/>
      <c r="U14" s="76">
        <f t="shared" ref="U14" si="6">C14*E14+K14-F14</f>
        <v>-852355</v>
      </c>
      <c r="W14" s="102"/>
      <c r="X14" s="102"/>
      <c r="Y14" s="102"/>
      <c r="Z14" s="102"/>
      <c r="AA14" s="102"/>
      <c r="AB14" s="102" t="s">
        <v>452</v>
      </c>
      <c r="AC14" s="102" t="s">
        <v>752</v>
      </c>
      <c r="AD14" s="102" t="s">
        <v>1118</v>
      </c>
      <c r="AE14" s="102"/>
      <c r="AF14" s="102"/>
      <c r="AG14" s="102"/>
      <c r="AI14" s="102"/>
      <c r="AJ14" s="102"/>
      <c r="AL14" s="102"/>
    </row>
    <row r="15" spans="1:38">
      <c r="A15" s="75" t="s">
        <v>941</v>
      </c>
      <c r="B15" s="75" t="s">
        <v>971</v>
      </c>
      <c r="C15" s="75">
        <v>200</v>
      </c>
      <c r="D15" s="75" t="s">
        <v>956</v>
      </c>
      <c r="E15" s="76">
        <v>83399</v>
      </c>
      <c r="F15" s="76">
        <v>17520183</v>
      </c>
      <c r="G15" s="75">
        <v>0</v>
      </c>
      <c r="H15" s="75">
        <v>15</v>
      </c>
      <c r="I15" s="76">
        <f t="shared" si="0"/>
        <v>0</v>
      </c>
      <c r="J15" s="75">
        <v>7.2499999999999995E-2</v>
      </c>
      <c r="K15" s="76">
        <f t="shared" si="5"/>
        <v>12092.855</v>
      </c>
      <c r="L15" s="75">
        <v>6</v>
      </c>
      <c r="M15" s="77">
        <f>F15-F14</f>
        <v>55793</v>
      </c>
      <c r="N15" s="75">
        <v>100</v>
      </c>
      <c r="O15" s="75">
        <f>C14-N15</f>
        <v>100</v>
      </c>
      <c r="P15" s="108">
        <v>0</v>
      </c>
      <c r="Q15" s="77">
        <f>M15*N15/C14</f>
        <v>27896.5</v>
      </c>
      <c r="R15" s="77">
        <f>M15*O15/C14</f>
        <v>27896.5</v>
      </c>
      <c r="S15" s="110">
        <f>M15*P15/C14</f>
        <v>0</v>
      </c>
      <c r="T15" s="75"/>
      <c r="U15" s="76">
        <f t="shared" ref="U15" si="7">-C15*E15+K15+F15</f>
        <v>852475.85500000045</v>
      </c>
      <c r="W15" s="102"/>
      <c r="X15" s="102"/>
      <c r="Y15" s="102"/>
      <c r="Z15" s="102"/>
      <c r="AA15" s="102" t="s">
        <v>1040</v>
      </c>
      <c r="AB15" s="104">
        <f>AA12+Q70</f>
        <v>0</v>
      </c>
      <c r="AC15" s="120">
        <f>AB12+R70</f>
        <v>0</v>
      </c>
      <c r="AD15" s="120">
        <f>AC12+S70</f>
        <v>0</v>
      </c>
      <c r="AE15" s="102"/>
      <c r="AF15" s="102"/>
      <c r="AG15" s="102"/>
      <c r="AI15" s="102"/>
      <c r="AJ15" s="102"/>
      <c r="AL15" s="102"/>
    </row>
    <row r="16" spans="1:38">
      <c r="A16" s="78" t="s">
        <v>941</v>
      </c>
      <c r="B16" s="78" t="s">
        <v>954</v>
      </c>
      <c r="C16" s="78">
        <v>100</v>
      </c>
      <c r="D16" s="78" t="s">
        <v>61</v>
      </c>
      <c r="E16" s="79">
        <v>97328</v>
      </c>
      <c r="F16" s="79">
        <v>9878211</v>
      </c>
      <c r="G16" s="78">
        <v>2</v>
      </c>
      <c r="H16" s="78">
        <v>21</v>
      </c>
      <c r="I16" s="79">
        <f>F16*G16*($AE$2-H16)/(36500)</f>
        <v>-541.27183561643835</v>
      </c>
      <c r="J16" s="78">
        <v>7.2499999999999995E-2</v>
      </c>
      <c r="K16" s="79">
        <f t="shared" ref="K16:K21" si="8">C16*E16*J16/100</f>
        <v>7056.28</v>
      </c>
      <c r="L16" s="78">
        <f>(E16*(1+J16/100)+I16/C16)/(1-J17/100)-(U16/C16)*(G16/365)*($AE$2/100)</f>
        <v>97465.327560978476</v>
      </c>
      <c r="M16" s="80"/>
      <c r="N16" s="78"/>
      <c r="O16" s="78"/>
      <c r="P16" s="111"/>
      <c r="Q16" s="80"/>
      <c r="R16" s="80"/>
      <c r="S16" s="112"/>
      <c r="T16" s="78"/>
      <c r="U16" s="79">
        <f t="shared" ref="U16" si="9">C16*E16+K16-F16</f>
        <v>-138354.72000000067</v>
      </c>
      <c r="W16" s="102"/>
      <c r="X16" s="102"/>
      <c r="Y16" s="102"/>
      <c r="Z16" s="102"/>
      <c r="AA16" s="102" t="s">
        <v>1041</v>
      </c>
      <c r="AB16" s="104">
        <f>AB15-AI12</f>
        <v>0</v>
      </c>
      <c r="AC16" s="120">
        <f t="shared" ref="AC16:AD16" si="10">AC15-AJ12</f>
        <v>0</v>
      </c>
      <c r="AD16" s="120">
        <f t="shared" si="10"/>
        <v>0</v>
      </c>
      <c r="AE16" s="102"/>
      <c r="AF16" s="102"/>
      <c r="AG16" s="102"/>
      <c r="AI16" s="102"/>
      <c r="AJ16" s="102"/>
      <c r="AL16" s="102"/>
    </row>
    <row r="17" spans="1:33">
      <c r="A17" s="78" t="s">
        <v>1044</v>
      </c>
      <c r="B17" s="78" t="s">
        <v>954</v>
      </c>
      <c r="C17" s="78">
        <v>100</v>
      </c>
      <c r="D17" s="78" t="s">
        <v>956</v>
      </c>
      <c r="E17" s="79">
        <v>99000</v>
      </c>
      <c r="F17" s="79">
        <v>10042365</v>
      </c>
      <c r="G17" s="78"/>
      <c r="H17" s="78"/>
      <c r="I17" s="79"/>
      <c r="J17" s="78">
        <v>7.2499999999999995E-2</v>
      </c>
      <c r="K17" s="79">
        <f t="shared" si="8"/>
        <v>7177.5</v>
      </c>
      <c r="L17" s="78">
        <v>7</v>
      </c>
      <c r="M17" s="80">
        <f>F17-F16</f>
        <v>164154</v>
      </c>
      <c r="N17" s="78">
        <v>50</v>
      </c>
      <c r="O17" s="78">
        <v>50</v>
      </c>
      <c r="P17" s="111">
        <v>0</v>
      </c>
      <c r="Q17" s="80">
        <f t="shared" ref="Q17" si="11">M17*N17/C16</f>
        <v>82077</v>
      </c>
      <c r="R17" s="80">
        <f t="shared" ref="R17" si="12">M17*O17/C16</f>
        <v>82077</v>
      </c>
      <c r="S17" s="112">
        <f>M17*P17/C16</f>
        <v>0</v>
      </c>
      <c r="T17" s="78"/>
      <c r="U17" s="79">
        <f t="shared" ref="U17" si="13">-C17*E17+K17+F17</f>
        <v>149542.5</v>
      </c>
      <c r="W17" s="102"/>
      <c r="X17" s="102"/>
      <c r="Y17" s="102"/>
      <c r="Z17" s="102"/>
      <c r="AA17" s="102"/>
      <c r="AB17" s="102"/>
      <c r="AD17" s="102"/>
      <c r="AE17" s="102"/>
      <c r="AF17" s="102"/>
      <c r="AG17" s="102"/>
    </row>
    <row r="18" spans="1:33">
      <c r="A18" s="75" t="s">
        <v>941</v>
      </c>
      <c r="B18" s="75" t="s">
        <v>954</v>
      </c>
      <c r="C18" s="75">
        <v>100</v>
      </c>
      <c r="D18" s="75" t="s">
        <v>61</v>
      </c>
      <c r="E18" s="76">
        <v>97328</v>
      </c>
      <c r="F18" s="76">
        <v>9878211</v>
      </c>
      <c r="G18" s="75">
        <v>2</v>
      </c>
      <c r="H18" s="75">
        <v>21</v>
      </c>
      <c r="I18" s="76">
        <f>F18*G18*($AE$2-H18)/(36500)</f>
        <v>-541.27183561643835</v>
      </c>
      <c r="J18" s="75">
        <v>7.2499999999999995E-2</v>
      </c>
      <c r="K18" s="76">
        <f t="shared" si="8"/>
        <v>7056.28</v>
      </c>
      <c r="L18" s="75">
        <f>(E18*(1+J18/100)+I18/C18)/(1-J19/100)-(U18/C18)*(G18/365)*($AE$2/100)</f>
        <v>97465.327560978476</v>
      </c>
      <c r="M18" s="77"/>
      <c r="N18" s="75"/>
      <c r="O18" s="75"/>
      <c r="P18" s="108"/>
      <c r="Q18" s="77"/>
      <c r="R18" s="77"/>
      <c r="S18" s="110"/>
      <c r="T18" s="75"/>
      <c r="U18" s="76">
        <f t="shared" ref="U18" si="14">C18*E18+K18-F18</f>
        <v>-138354.72000000067</v>
      </c>
      <c r="W18" s="102"/>
      <c r="X18" s="102"/>
      <c r="Y18" s="102"/>
      <c r="Z18" s="102"/>
      <c r="AA18" s="102" t="s">
        <v>1071</v>
      </c>
      <c r="AB18" s="102">
        <v>8</v>
      </c>
      <c r="AD18" s="102"/>
      <c r="AE18" s="102"/>
      <c r="AF18" s="102"/>
      <c r="AG18" s="102"/>
    </row>
    <row r="19" spans="1:33">
      <c r="A19" s="75" t="s">
        <v>1044</v>
      </c>
      <c r="B19" s="75" t="s">
        <v>954</v>
      </c>
      <c r="C19" s="75">
        <v>100</v>
      </c>
      <c r="D19" s="75" t="s">
        <v>956</v>
      </c>
      <c r="E19" s="76">
        <v>99998</v>
      </c>
      <c r="F19" s="76">
        <v>10142183</v>
      </c>
      <c r="G19" s="75"/>
      <c r="H19" s="75"/>
      <c r="I19" s="76"/>
      <c r="J19" s="75">
        <v>7.2499999999999995E-2</v>
      </c>
      <c r="K19" s="76">
        <f t="shared" si="8"/>
        <v>7249.8549999999996</v>
      </c>
      <c r="L19" s="75">
        <v>8</v>
      </c>
      <c r="M19" s="77">
        <f t="shared" ref="M19" si="15">F19-F18</f>
        <v>263972</v>
      </c>
      <c r="N19" s="75">
        <v>50</v>
      </c>
      <c r="O19" s="75">
        <v>50</v>
      </c>
      <c r="P19" s="108">
        <v>0</v>
      </c>
      <c r="Q19" s="77">
        <f t="shared" ref="Q19" si="16">M19*N19/C18</f>
        <v>131986</v>
      </c>
      <c r="R19" s="77">
        <f t="shared" ref="R19" si="17">M19*O19/C18</f>
        <v>131986</v>
      </c>
      <c r="S19" s="110">
        <f>M19*P19/C18</f>
        <v>0</v>
      </c>
      <c r="T19" s="75"/>
      <c r="U19" s="76">
        <f t="shared" ref="U19" si="18">-C19*E19+K19+F19</f>
        <v>149632.85500000045</v>
      </c>
      <c r="W19" s="102"/>
      <c r="X19" s="102"/>
      <c r="Y19" s="102"/>
      <c r="Z19" s="102"/>
      <c r="AA19" s="102" t="s">
        <v>1072</v>
      </c>
      <c r="AB19" s="102">
        <v>33</v>
      </c>
      <c r="AD19" s="102"/>
      <c r="AE19" s="102"/>
      <c r="AF19" s="102"/>
      <c r="AG19" s="102"/>
    </row>
    <row r="20" spans="1:33">
      <c r="A20" s="78" t="s">
        <v>941</v>
      </c>
      <c r="B20" s="78" t="s">
        <v>954</v>
      </c>
      <c r="C20" s="78">
        <v>200</v>
      </c>
      <c r="D20" s="78" t="s">
        <v>61</v>
      </c>
      <c r="E20" s="79">
        <v>97328</v>
      </c>
      <c r="F20" s="79">
        <v>19756422</v>
      </c>
      <c r="G20" s="78">
        <v>2</v>
      </c>
      <c r="H20" s="78">
        <v>21</v>
      </c>
      <c r="I20" s="79">
        <f>F20*G20*($AE$2-H20)/(36500)</f>
        <v>-1082.5436712328767</v>
      </c>
      <c r="J20" s="78">
        <v>7.2499999999999995E-2</v>
      </c>
      <c r="K20" s="79">
        <f t="shared" si="8"/>
        <v>14112.56</v>
      </c>
      <c r="L20" s="78">
        <f>(E20*(1+J20/100)+I20/C20)/(1-J21/100)-(U20/C20)*(G20/365)*($AE$2/100)</f>
        <v>97465.327560978476</v>
      </c>
      <c r="M20" s="80"/>
      <c r="N20" s="78"/>
      <c r="O20" s="78"/>
      <c r="P20" s="111"/>
      <c r="Q20" s="80"/>
      <c r="R20" s="80"/>
      <c r="S20" s="112"/>
      <c r="T20" s="78"/>
      <c r="U20" s="79">
        <f t="shared" ref="U20" si="19">C20*E20+K20-F20</f>
        <v>-276709.44000000134</v>
      </c>
      <c r="W20" s="102"/>
      <c r="X20" s="102"/>
      <c r="Y20" s="102"/>
      <c r="Z20" s="102"/>
      <c r="AA20" s="102"/>
      <c r="AB20" s="102"/>
      <c r="AD20" s="102"/>
      <c r="AE20" s="102"/>
      <c r="AF20" s="102"/>
      <c r="AG20" s="102"/>
    </row>
    <row r="21" spans="1:33">
      <c r="A21" s="78" t="s">
        <v>1044</v>
      </c>
      <c r="B21" s="78" t="s">
        <v>954</v>
      </c>
      <c r="C21" s="78">
        <v>200</v>
      </c>
      <c r="D21" s="78" t="s">
        <v>956</v>
      </c>
      <c r="E21" s="79">
        <v>99000</v>
      </c>
      <c r="F21" s="79">
        <v>20084731</v>
      </c>
      <c r="G21" s="78"/>
      <c r="H21" s="78"/>
      <c r="I21" s="79"/>
      <c r="J21" s="78">
        <v>7.2499999999999995E-2</v>
      </c>
      <c r="K21" s="79">
        <f t="shared" si="8"/>
        <v>14355</v>
      </c>
      <c r="L21" s="78">
        <v>9</v>
      </c>
      <c r="M21" s="80">
        <f t="shared" ref="M21" si="20">F21-F20</f>
        <v>328309</v>
      </c>
      <c r="N21" s="78">
        <v>100</v>
      </c>
      <c r="O21" s="78">
        <v>100</v>
      </c>
      <c r="P21" s="111">
        <v>0</v>
      </c>
      <c r="Q21" s="80">
        <f t="shared" ref="Q21" si="21">M21*N21/C20</f>
        <v>164154.5</v>
      </c>
      <c r="R21" s="80">
        <f t="shared" ref="R21" si="22">M21*O21/C20</f>
        <v>164154.5</v>
      </c>
      <c r="S21" s="112">
        <f>M21*P21/C20</f>
        <v>0</v>
      </c>
      <c r="T21" s="78"/>
      <c r="U21" s="79">
        <f t="shared" ref="U21" si="23">-C21*E21+K21+F21</f>
        <v>299086</v>
      </c>
      <c r="W21" s="102"/>
      <c r="X21" s="102"/>
      <c r="Y21" s="102"/>
      <c r="Z21" s="102"/>
      <c r="AA21" s="102"/>
      <c r="AB21" s="102"/>
      <c r="AD21" s="102"/>
      <c r="AE21" s="102"/>
      <c r="AF21" s="102"/>
      <c r="AG21" s="102"/>
    </row>
    <row r="22" spans="1:33">
      <c r="A22" s="75" t="s">
        <v>941</v>
      </c>
      <c r="B22" s="75" t="s">
        <v>967</v>
      </c>
      <c r="C22" s="75">
        <v>100</v>
      </c>
      <c r="D22" s="75" t="s">
        <v>61</v>
      </c>
      <c r="E22" s="76">
        <v>97875</v>
      </c>
      <c r="F22" s="76">
        <v>10210616</v>
      </c>
      <c r="G22" s="75">
        <v>2</v>
      </c>
      <c r="H22" s="75">
        <v>21</v>
      </c>
      <c r="I22" s="76">
        <f>F22*G22*($AE$2-H22)/(36500)</f>
        <v>-559.48580821917813</v>
      </c>
      <c r="J22" s="75">
        <v>7.2499999999999995E-2</v>
      </c>
      <c r="K22" s="76">
        <f t="shared" ref="K22:K23" si="24">C22*E22*J22/100</f>
        <v>7095.9375</v>
      </c>
      <c r="L22" s="75">
        <f>(E22*(1+J22/100)+I22/C22)/(1-J23/100)-(U22/C22)*(G22/365)*($AE$2/100)</f>
        <v>98015.981922419291</v>
      </c>
      <c r="M22" s="77"/>
      <c r="N22" s="75"/>
      <c r="O22" s="75"/>
      <c r="P22" s="108"/>
      <c r="Q22" s="77"/>
      <c r="R22" s="77"/>
      <c r="S22" s="110"/>
      <c r="T22" s="75"/>
      <c r="U22" s="76">
        <f t="shared" ref="U22" si="25">C22*E22+K22-F22</f>
        <v>-416020.0625</v>
      </c>
      <c r="W22" s="102"/>
      <c r="X22" s="102"/>
      <c r="Y22" s="105" t="s">
        <v>964</v>
      </c>
      <c r="Z22" s="105" t="s">
        <v>182</v>
      </c>
      <c r="AA22" s="102"/>
      <c r="AB22" s="102"/>
      <c r="AD22" s="102"/>
      <c r="AE22" s="102"/>
      <c r="AF22" s="102"/>
      <c r="AG22" s="102"/>
    </row>
    <row r="23" spans="1:33">
      <c r="A23" s="75" t="s">
        <v>1044</v>
      </c>
      <c r="B23" s="75" t="s">
        <v>967</v>
      </c>
      <c r="C23" s="75">
        <v>100</v>
      </c>
      <c r="D23" s="75" t="s">
        <v>956</v>
      </c>
      <c r="E23" s="76">
        <v>99999</v>
      </c>
      <c r="F23" s="76">
        <v>10420633</v>
      </c>
      <c r="G23" s="75"/>
      <c r="H23" s="75"/>
      <c r="I23" s="76"/>
      <c r="J23" s="75">
        <v>7.2499999999999995E-2</v>
      </c>
      <c r="K23" s="76">
        <f t="shared" si="24"/>
        <v>7249.9274999999998</v>
      </c>
      <c r="L23" s="75">
        <v>10</v>
      </c>
      <c r="M23" s="77">
        <f>F23-F22</f>
        <v>210017</v>
      </c>
      <c r="N23" s="75">
        <v>50</v>
      </c>
      <c r="O23" s="75">
        <v>50</v>
      </c>
      <c r="P23" s="108">
        <v>0</v>
      </c>
      <c r="Q23" s="77">
        <f>M23*N23/C22</f>
        <v>105008.5</v>
      </c>
      <c r="R23" s="77">
        <f>M23*O23/C22</f>
        <v>105008.5</v>
      </c>
      <c r="S23" s="110">
        <f>M23*P23/C22</f>
        <v>0</v>
      </c>
      <c r="T23" s="75"/>
      <c r="U23" s="76">
        <f t="shared" ref="U23" si="26">-C23*E23+K23+F23</f>
        <v>427982.92750000022</v>
      </c>
      <c r="W23" s="102"/>
      <c r="X23" s="102"/>
      <c r="Y23" s="105" t="s">
        <v>965</v>
      </c>
      <c r="Z23" s="103">
        <v>0</v>
      </c>
      <c r="AA23" s="102"/>
      <c r="AB23" s="102"/>
      <c r="AD23" s="102"/>
      <c r="AE23" s="102"/>
      <c r="AF23" s="102"/>
      <c r="AG23" s="102" t="s">
        <v>25</v>
      </c>
    </row>
    <row r="24" spans="1:33">
      <c r="A24" s="78" t="s">
        <v>941</v>
      </c>
      <c r="B24" s="78" t="s">
        <v>954</v>
      </c>
      <c r="C24" s="78">
        <v>300</v>
      </c>
      <c r="D24" s="78" t="s">
        <v>61</v>
      </c>
      <c r="E24" s="79">
        <v>97328</v>
      </c>
      <c r="F24" s="79">
        <v>29634633</v>
      </c>
      <c r="G24" s="78">
        <v>2</v>
      </c>
      <c r="H24" s="78">
        <v>21</v>
      </c>
      <c r="I24" s="79">
        <f>F24*G24*($AE$2-H24)/(36500)</f>
        <v>-1623.8155068493152</v>
      </c>
      <c r="J24" s="78">
        <v>7.2499999999999995E-2</v>
      </c>
      <c r="K24" s="79">
        <f t="shared" ref="K24:K25" si="27">C24*E24*J24/100</f>
        <v>21168.84</v>
      </c>
      <c r="L24" s="78">
        <f>(E24*(1+J24/100)+I24/C24)/(1-J25/100)-(U24/C24)*(G24/365)*($AE$2/100)</f>
        <v>97465.327560978476</v>
      </c>
      <c r="M24" s="80"/>
      <c r="N24" s="78"/>
      <c r="O24" s="78"/>
      <c r="P24" s="111"/>
      <c r="Q24" s="80"/>
      <c r="R24" s="80"/>
      <c r="S24" s="112"/>
      <c r="T24" s="78"/>
      <c r="U24" s="79">
        <f t="shared" ref="U24" si="28">C24*E24+K24-F24</f>
        <v>-415064.16000000015</v>
      </c>
      <c r="W24" s="102"/>
      <c r="X24" s="102"/>
      <c r="Y24" s="105"/>
      <c r="Z24" s="103"/>
      <c r="AA24" s="102"/>
      <c r="AB24" s="102"/>
      <c r="AD24" s="104"/>
      <c r="AE24" s="102"/>
      <c r="AF24" s="102"/>
      <c r="AG24" s="102"/>
    </row>
    <row r="25" spans="1:33">
      <c r="A25" s="78" t="s">
        <v>1044</v>
      </c>
      <c r="B25" s="78" t="s">
        <v>954</v>
      </c>
      <c r="C25" s="78">
        <v>300</v>
      </c>
      <c r="D25" s="78" t="s">
        <v>956</v>
      </c>
      <c r="E25" s="79">
        <v>99000</v>
      </c>
      <c r="F25" s="79">
        <v>30127096</v>
      </c>
      <c r="G25" s="78">
        <v>0</v>
      </c>
      <c r="H25" s="78"/>
      <c r="I25" s="79"/>
      <c r="J25" s="78">
        <v>7.2499999999999995E-2</v>
      </c>
      <c r="K25" s="79">
        <f t="shared" si="27"/>
        <v>21532.5</v>
      </c>
      <c r="L25" s="78">
        <v>11</v>
      </c>
      <c r="M25" s="80">
        <f>F25-F24</f>
        <v>492463</v>
      </c>
      <c r="N25" s="78">
        <v>150</v>
      </c>
      <c r="O25" s="78">
        <v>150</v>
      </c>
      <c r="P25" s="111">
        <v>0</v>
      </c>
      <c r="Q25" s="80">
        <f>M25*N25/C24</f>
        <v>246231.5</v>
      </c>
      <c r="R25" s="80">
        <f>M25*O25/C24</f>
        <v>246231.5</v>
      </c>
      <c r="S25" s="112">
        <f>M25*P25/C24</f>
        <v>0</v>
      </c>
      <c r="T25" s="78"/>
      <c r="U25" s="79">
        <f t="shared" ref="U25" si="29">-C25*E25+K25+F25</f>
        <v>448628.5</v>
      </c>
      <c r="W25" s="102"/>
      <c r="X25" s="102"/>
      <c r="Y25" s="105"/>
      <c r="Z25" s="103">
        <v>0</v>
      </c>
      <c r="AA25" s="102"/>
      <c r="AB25" s="102"/>
      <c r="AD25" s="102"/>
      <c r="AE25" s="102"/>
      <c r="AF25" s="102"/>
      <c r="AG25" s="102"/>
    </row>
    <row r="26" spans="1:33">
      <c r="A26" s="75" t="s">
        <v>941</v>
      </c>
      <c r="B26" s="75" t="s">
        <v>967</v>
      </c>
      <c r="C26" s="75">
        <v>200</v>
      </c>
      <c r="D26" s="75" t="s">
        <v>61</v>
      </c>
      <c r="E26" s="76">
        <v>97875</v>
      </c>
      <c r="F26" s="76">
        <v>20421232</v>
      </c>
      <c r="G26" s="75">
        <v>2</v>
      </c>
      <c r="H26" s="75">
        <v>21</v>
      </c>
      <c r="I26" s="76">
        <f>F26*G26*($AE$2-H26)/(36500)</f>
        <v>-1118.9716164383563</v>
      </c>
      <c r="J26" s="75">
        <v>7.2499999999999995E-2</v>
      </c>
      <c r="K26" s="76">
        <f>C26*E26*J26/100</f>
        <v>14191.875</v>
      </c>
      <c r="L26" s="75">
        <f>(E26*(1+J26/100)+I26/C26)/(1-J27/100)-(U26/C26)*(G26/365)*($AE$2/100)</f>
        <v>98015.981922419291</v>
      </c>
      <c r="M26" s="77"/>
      <c r="N26" s="75"/>
      <c r="O26" s="75"/>
      <c r="P26" s="108"/>
      <c r="Q26" s="77"/>
      <c r="R26" s="77"/>
      <c r="S26" s="110"/>
      <c r="T26" s="75"/>
      <c r="U26" s="76">
        <f t="shared" ref="U26" si="30">C26*E26+K26-F26</f>
        <v>-832040.125</v>
      </c>
      <c r="W26" s="102"/>
      <c r="X26" s="102"/>
      <c r="Y26" s="105"/>
      <c r="Z26" s="103">
        <v>0</v>
      </c>
      <c r="AA26" s="102"/>
      <c r="AB26" s="102"/>
      <c r="AD26" s="102"/>
      <c r="AE26" s="102"/>
      <c r="AF26" s="102"/>
      <c r="AG26" s="102"/>
    </row>
    <row r="27" spans="1:33">
      <c r="A27" s="75" t="s">
        <v>1044</v>
      </c>
      <c r="B27" s="75" t="s">
        <v>967</v>
      </c>
      <c r="C27" s="75">
        <v>200</v>
      </c>
      <c r="D27" s="75" t="s">
        <v>956</v>
      </c>
      <c r="E27" s="76">
        <v>99999</v>
      </c>
      <c r="F27" s="76">
        <v>20841265</v>
      </c>
      <c r="G27" s="75"/>
      <c r="H27" s="75"/>
      <c r="I27" s="76"/>
      <c r="J27" s="75">
        <v>7.2499999999999995E-2</v>
      </c>
      <c r="K27" s="76">
        <f>C27*E27*J27/100</f>
        <v>14499.855</v>
      </c>
      <c r="L27" s="75">
        <v>12</v>
      </c>
      <c r="M27" s="77">
        <f>F27-F26</f>
        <v>420033</v>
      </c>
      <c r="N27" s="75">
        <v>100</v>
      </c>
      <c r="O27" s="75">
        <v>100</v>
      </c>
      <c r="P27" s="108">
        <v>0</v>
      </c>
      <c r="Q27" s="77">
        <f>M27*N27/C26</f>
        <v>210016.5</v>
      </c>
      <c r="R27" s="77">
        <f>M27*O27/C26</f>
        <v>210016.5</v>
      </c>
      <c r="S27" s="110">
        <f>M27*P27/C26</f>
        <v>0</v>
      </c>
      <c r="T27" s="75"/>
      <c r="U27" s="76">
        <f t="shared" ref="U27" si="31">-C27*E27+K27+F27</f>
        <v>855964.85500000045</v>
      </c>
      <c r="W27" s="102"/>
      <c r="X27" s="102"/>
      <c r="Y27" s="105"/>
      <c r="Z27" s="103">
        <v>0</v>
      </c>
      <c r="AA27" s="102"/>
      <c r="AB27" s="102"/>
      <c r="AD27" s="102" t="s">
        <v>25</v>
      </c>
      <c r="AE27" s="102"/>
      <c r="AF27" s="102"/>
      <c r="AG27" s="102"/>
    </row>
    <row r="28" spans="1:33">
      <c r="A28" s="88" t="s">
        <v>941</v>
      </c>
      <c r="B28" s="88" t="s">
        <v>967</v>
      </c>
      <c r="C28" s="88">
        <v>100</v>
      </c>
      <c r="D28" s="88" t="s">
        <v>61</v>
      </c>
      <c r="E28" s="89">
        <v>97875</v>
      </c>
      <c r="F28" s="89">
        <v>10210616</v>
      </c>
      <c r="G28" s="88">
        <v>8</v>
      </c>
      <c r="H28" s="88">
        <v>21</v>
      </c>
      <c r="I28" s="89">
        <f>F28*G28*($AE$2-H28)/(36500)</f>
        <v>-2237.9432328767125</v>
      </c>
      <c r="J28" s="88">
        <v>7.2499999999999995E-2</v>
      </c>
      <c r="K28" s="89">
        <f>C28*E28*J28/100</f>
        <v>7095.9375</v>
      </c>
      <c r="L28" s="88">
        <f>(E28*(1+J28/100)+I28/C28)/(1-J29/100)-(U28/C28)*(G28/365)*($AE$2/100)</f>
        <v>98012.862542445393</v>
      </c>
      <c r="M28" s="88"/>
      <c r="N28" s="88"/>
      <c r="O28" s="88"/>
      <c r="P28" s="88"/>
      <c r="Q28" s="88"/>
      <c r="R28" s="88"/>
      <c r="S28" s="88"/>
      <c r="T28" s="89"/>
      <c r="U28" s="89">
        <f t="shared" ref="U28" si="32">C28*E28+K28-F28</f>
        <v>-416020.0625</v>
      </c>
      <c r="W28" s="102"/>
      <c r="X28" s="102"/>
      <c r="Y28" s="105"/>
      <c r="Z28" s="103">
        <v>0</v>
      </c>
      <c r="AA28" s="102"/>
      <c r="AB28" s="102"/>
      <c r="AD28" s="102"/>
      <c r="AE28" s="102"/>
      <c r="AF28" s="102"/>
      <c r="AG28" s="102"/>
    </row>
    <row r="29" spans="1:33">
      <c r="A29" s="88" t="s">
        <v>1081</v>
      </c>
      <c r="B29" s="88" t="s">
        <v>967</v>
      </c>
      <c r="C29" s="88">
        <v>100</v>
      </c>
      <c r="D29" s="88" t="s">
        <v>956</v>
      </c>
      <c r="E29" s="89">
        <v>99999</v>
      </c>
      <c r="F29" s="89">
        <v>10456533</v>
      </c>
      <c r="G29" s="88"/>
      <c r="H29" s="88"/>
      <c r="I29" s="89">
        <f>F29*G29*($AE$2-H29)/(36500)</f>
        <v>0</v>
      </c>
      <c r="J29" s="88">
        <v>7.2499999999999995E-2</v>
      </c>
      <c r="K29" s="89">
        <f t="shared" ref="K29" si="33">C29*E29*J29/100</f>
        <v>7249.9274999999998</v>
      </c>
      <c r="L29" s="88">
        <v>13</v>
      </c>
      <c r="M29" s="89">
        <f>F29-F28</f>
        <v>245917</v>
      </c>
      <c r="N29" s="88">
        <v>50</v>
      </c>
      <c r="O29" s="88">
        <v>50</v>
      </c>
      <c r="P29" s="88">
        <v>0</v>
      </c>
      <c r="Q29" s="89">
        <f t="shared" ref="Q29" si="34">M29*N29/C28</f>
        <v>122958.5</v>
      </c>
      <c r="R29" s="89">
        <f t="shared" ref="R29" si="35">M29*O29/C28</f>
        <v>122958.5</v>
      </c>
      <c r="S29" s="89">
        <f>M29*P29/C28</f>
        <v>0</v>
      </c>
      <c r="T29" s="88"/>
      <c r="U29" s="89">
        <f t="shared" ref="U29" si="36">-C29*E29+K29+F29</f>
        <v>463882.92750000022</v>
      </c>
      <c r="W29" s="102"/>
      <c r="X29" s="102"/>
      <c r="Y29" s="105"/>
      <c r="Z29" s="103"/>
      <c r="AA29" s="102"/>
      <c r="AB29" s="104"/>
      <c r="AC29" s="104"/>
      <c r="AD29" s="102"/>
      <c r="AE29" s="102"/>
      <c r="AF29" s="102"/>
      <c r="AG29" s="102"/>
    </row>
    <row r="30" spans="1:33">
      <c r="A30" s="78" t="s">
        <v>1033</v>
      </c>
      <c r="B30" s="78" t="s">
        <v>1023</v>
      </c>
      <c r="C30" s="78">
        <v>143</v>
      </c>
      <c r="D30" s="78" t="s">
        <v>61</v>
      </c>
      <c r="E30" s="79">
        <v>70003</v>
      </c>
      <c r="F30" s="79">
        <v>10017729</v>
      </c>
      <c r="G30" s="78">
        <v>0</v>
      </c>
      <c r="H30" s="78">
        <v>0</v>
      </c>
      <c r="I30" s="79">
        <f t="shared" si="0"/>
        <v>0</v>
      </c>
      <c r="J30" s="78">
        <v>7.2499999999999995E-2</v>
      </c>
      <c r="K30" s="79">
        <f t="shared" si="5"/>
        <v>7257.5610249999991</v>
      </c>
      <c r="L30" s="78">
        <f>(E30*(1+J30/100)+I30/C30)/(1-J31/100)-(U30/C30)*(G30/365)*($AE$2/100)</f>
        <v>70104.577994045685</v>
      </c>
      <c r="M30" s="80"/>
      <c r="N30" s="78"/>
      <c r="O30" s="78"/>
      <c r="P30" s="111"/>
      <c r="Q30" s="80"/>
      <c r="R30" s="80"/>
      <c r="S30" s="112"/>
      <c r="T30" s="78"/>
      <c r="U30" s="79">
        <v>0</v>
      </c>
      <c r="W30" s="102"/>
      <c r="X30" s="102"/>
      <c r="Y30" s="105"/>
      <c r="Z30" s="103"/>
      <c r="AA30" s="102"/>
      <c r="AB30" s="104"/>
      <c r="AC30" s="104"/>
      <c r="AD30" s="102"/>
      <c r="AE30" s="102"/>
      <c r="AF30" s="102"/>
      <c r="AG30" s="102"/>
    </row>
    <row r="31" spans="1:33">
      <c r="A31" s="78" t="s">
        <v>1033</v>
      </c>
      <c r="B31" s="78" t="s">
        <v>1023</v>
      </c>
      <c r="C31" s="78">
        <v>143</v>
      </c>
      <c r="D31" s="78" t="s">
        <v>956</v>
      </c>
      <c r="E31" s="79">
        <v>70500</v>
      </c>
      <c r="F31" s="79">
        <v>10074191</v>
      </c>
      <c r="G31" s="78">
        <v>0</v>
      </c>
      <c r="H31" s="78">
        <v>0</v>
      </c>
      <c r="I31" s="79">
        <f t="shared" si="0"/>
        <v>0</v>
      </c>
      <c r="J31" s="78">
        <v>7.2499999999999995E-2</v>
      </c>
      <c r="K31" s="79">
        <f t="shared" si="5"/>
        <v>7309.0874999999996</v>
      </c>
      <c r="L31" s="78">
        <v>14</v>
      </c>
      <c r="M31" s="80">
        <f>F31-F30</f>
        <v>56462</v>
      </c>
      <c r="N31" s="78">
        <v>71.5</v>
      </c>
      <c r="O31" s="78">
        <f>C30-N31</f>
        <v>71.5</v>
      </c>
      <c r="P31" s="111">
        <v>0</v>
      </c>
      <c r="Q31" s="80">
        <f>M31*N31/C30</f>
        <v>28231</v>
      </c>
      <c r="R31" s="80">
        <f>M31*O31/C30</f>
        <v>28231</v>
      </c>
      <c r="S31" s="112">
        <f>M31*P31/C30</f>
        <v>0</v>
      </c>
      <c r="T31" s="78"/>
      <c r="U31" s="79">
        <v>0</v>
      </c>
      <c r="W31" s="102"/>
      <c r="X31" s="102"/>
      <c r="Y31" s="105"/>
      <c r="Z31" s="103"/>
      <c r="AA31" s="102"/>
      <c r="AB31" s="102"/>
      <c r="AD31" s="102"/>
      <c r="AE31" s="102"/>
      <c r="AF31" s="102"/>
      <c r="AG31" s="102"/>
    </row>
    <row r="32" spans="1:33">
      <c r="A32" s="75" t="s">
        <v>1033</v>
      </c>
      <c r="B32" s="75" t="s">
        <v>945</v>
      </c>
      <c r="C32" s="75">
        <v>500</v>
      </c>
      <c r="D32" s="75" t="s">
        <v>61</v>
      </c>
      <c r="E32" s="76">
        <v>80620</v>
      </c>
      <c r="F32" s="76">
        <v>40339223</v>
      </c>
      <c r="G32" s="75">
        <v>0</v>
      </c>
      <c r="H32" s="75">
        <v>0</v>
      </c>
      <c r="I32" s="76">
        <f t="shared" si="0"/>
        <v>0</v>
      </c>
      <c r="J32" s="75">
        <v>7.2499999999999995E-2</v>
      </c>
      <c r="K32" s="76">
        <f t="shared" si="5"/>
        <v>29224.75</v>
      </c>
      <c r="L32" s="75">
        <f>(E32*(1+J32/100)+I32/C32)/(1-J33/100)-(U32/C32)*(G32/365)*($AE$2/100)</f>
        <v>80736.983813264611</v>
      </c>
      <c r="M32" s="77"/>
      <c r="N32" s="75"/>
      <c r="O32" s="75"/>
      <c r="P32" s="108"/>
      <c r="Q32" s="77"/>
      <c r="R32" s="77"/>
      <c r="S32" s="110"/>
      <c r="T32" s="75"/>
      <c r="U32" s="76">
        <v>0</v>
      </c>
      <c r="W32" s="102"/>
      <c r="X32" s="102"/>
      <c r="Y32" s="105" t="s">
        <v>6</v>
      </c>
      <c r="Z32" s="103">
        <f>SUM(Z23:Z31)</f>
        <v>0</v>
      </c>
      <c r="AA32" s="102"/>
      <c r="AB32" s="102"/>
      <c r="AD32" s="102"/>
      <c r="AE32" s="102"/>
      <c r="AF32" s="102"/>
      <c r="AG32" s="102"/>
    </row>
    <row r="33" spans="1:26">
      <c r="A33" s="75" t="s">
        <v>1033</v>
      </c>
      <c r="B33" s="75" t="s">
        <v>945</v>
      </c>
      <c r="C33" s="75">
        <v>500</v>
      </c>
      <c r="D33" s="75" t="s">
        <v>956</v>
      </c>
      <c r="E33" s="76">
        <v>80980</v>
      </c>
      <c r="F33" s="76">
        <v>40460644</v>
      </c>
      <c r="G33" s="75">
        <v>0</v>
      </c>
      <c r="H33" s="75">
        <v>0</v>
      </c>
      <c r="I33" s="76"/>
      <c r="J33" s="75">
        <v>7.2499999999999995E-2</v>
      </c>
      <c r="K33" s="76">
        <f t="shared" si="5"/>
        <v>29355.25</v>
      </c>
      <c r="L33" s="75">
        <v>15</v>
      </c>
      <c r="M33" s="77">
        <f>F33-F32</f>
        <v>121421</v>
      </c>
      <c r="N33" s="75">
        <v>250</v>
      </c>
      <c r="O33" s="75">
        <v>250</v>
      </c>
      <c r="P33" s="108">
        <v>0</v>
      </c>
      <c r="Q33" s="77">
        <f>M33*N33/C32</f>
        <v>60710.5</v>
      </c>
      <c r="R33" s="77">
        <f>M33*O33/C32</f>
        <v>60710.5</v>
      </c>
      <c r="S33" s="110">
        <f>M33*P33/C32</f>
        <v>0</v>
      </c>
      <c r="T33" s="75"/>
      <c r="U33" s="76">
        <v>0</v>
      </c>
      <c r="W33" s="102"/>
      <c r="X33" s="102"/>
      <c r="Y33" s="105"/>
      <c r="Z33" s="103"/>
    </row>
    <row r="34" spans="1:26">
      <c r="A34" s="78" t="s">
        <v>1033</v>
      </c>
      <c r="B34" s="78" t="s">
        <v>1023</v>
      </c>
      <c r="C34" s="78">
        <v>140</v>
      </c>
      <c r="D34" s="78" t="s">
        <v>1035</v>
      </c>
      <c r="E34" s="79">
        <v>70502</v>
      </c>
      <c r="F34" s="79">
        <v>9877463</v>
      </c>
      <c r="G34" s="78">
        <v>0</v>
      </c>
      <c r="H34" s="78">
        <v>0</v>
      </c>
      <c r="I34" s="79"/>
      <c r="J34" s="78">
        <v>7.2499999999999995E-2</v>
      </c>
      <c r="K34" s="79">
        <f t="shared" si="5"/>
        <v>7155.9529999999995</v>
      </c>
      <c r="L34" s="78">
        <f>(E34*(1+J34/100)+I34/C34)/(1-J35/100)-(U34/C34)*(G34/365)*($AE$2/100)</f>
        <v>70604.302069000027</v>
      </c>
      <c r="M34" s="80"/>
      <c r="N34" s="78"/>
      <c r="O34" s="78"/>
      <c r="P34" s="111"/>
      <c r="Q34" s="80"/>
      <c r="R34" s="80"/>
      <c r="S34" s="112"/>
      <c r="T34" s="78"/>
      <c r="U34" s="79">
        <v>0</v>
      </c>
      <c r="W34" s="102"/>
      <c r="X34" s="102"/>
      <c r="Y34" s="105" t="s">
        <v>960</v>
      </c>
      <c r="Z34" s="103">
        <f>Z32-AL12</f>
        <v>0</v>
      </c>
    </row>
    <row r="35" spans="1:26">
      <c r="A35" s="78" t="s">
        <v>1033</v>
      </c>
      <c r="B35" s="78" t="s">
        <v>1023</v>
      </c>
      <c r="C35" s="78">
        <v>140</v>
      </c>
      <c r="D35" s="78" t="s">
        <v>956</v>
      </c>
      <c r="E35" s="79">
        <v>71186</v>
      </c>
      <c r="F35" s="79">
        <v>9958940</v>
      </c>
      <c r="G35" s="78">
        <v>0</v>
      </c>
      <c r="H35" s="78">
        <v>0</v>
      </c>
      <c r="I35" s="79"/>
      <c r="J35" s="78">
        <v>7.2499999999999995E-2</v>
      </c>
      <c r="K35" s="79">
        <f t="shared" si="5"/>
        <v>7225.378999999999</v>
      </c>
      <c r="L35" s="78">
        <v>16</v>
      </c>
      <c r="M35" s="80">
        <f>F35-F34</f>
        <v>81477</v>
      </c>
      <c r="N35" s="78">
        <v>70</v>
      </c>
      <c r="O35" s="78">
        <v>70</v>
      </c>
      <c r="P35" s="111">
        <v>0</v>
      </c>
      <c r="Q35" s="80">
        <f>M35*N35/C34</f>
        <v>40738.5</v>
      </c>
      <c r="R35" s="80">
        <f>M35*O35/C34</f>
        <v>40738.5</v>
      </c>
      <c r="S35" s="112">
        <f>M35*P35/C34</f>
        <v>0</v>
      </c>
      <c r="T35" s="78"/>
      <c r="U35" s="79">
        <v>0</v>
      </c>
      <c r="W35" s="102"/>
      <c r="X35" s="102"/>
      <c r="Y35" s="102"/>
      <c r="Z35" s="102"/>
    </row>
    <row r="36" spans="1:26">
      <c r="A36" s="75" t="s">
        <v>1044</v>
      </c>
      <c r="B36" s="75" t="s">
        <v>961</v>
      </c>
      <c r="C36" s="75">
        <v>100</v>
      </c>
      <c r="D36" s="75" t="s">
        <v>61</v>
      </c>
      <c r="E36" s="76">
        <v>99000</v>
      </c>
      <c r="F36" s="76">
        <v>9940881</v>
      </c>
      <c r="G36" s="75">
        <v>0</v>
      </c>
      <c r="H36" s="75">
        <v>21</v>
      </c>
      <c r="I36" s="76">
        <f>F36*G36*($AE$2-H36)/(36500)</f>
        <v>0</v>
      </c>
      <c r="J36" s="75">
        <v>7.2499999999999995E-2</v>
      </c>
      <c r="K36" s="76">
        <f t="shared" ref="K36:K37" si="37">C36*E36*J36/100</f>
        <v>7177.5</v>
      </c>
      <c r="L36" s="75">
        <f>(E36*(1+J36/100)+I36/C36)/(1-J37/100)-(U36/C36)*(G36/365)*($AE$2/100)</f>
        <v>99143.654149258218</v>
      </c>
      <c r="M36" s="77"/>
      <c r="N36" s="75"/>
      <c r="O36" s="75"/>
      <c r="P36" s="108"/>
      <c r="Q36" s="77"/>
      <c r="R36" s="77"/>
      <c r="S36" s="110"/>
      <c r="T36" s="75"/>
      <c r="U36" s="76">
        <f t="shared" ref="U36" si="38">C36*E36+K36-F36</f>
        <v>-33703.5</v>
      </c>
    </row>
    <row r="37" spans="1:26">
      <c r="A37" s="75" t="s">
        <v>1044</v>
      </c>
      <c r="B37" s="75" t="s">
        <v>961</v>
      </c>
      <c r="C37" s="75">
        <v>100</v>
      </c>
      <c r="D37" s="75" t="s">
        <v>956</v>
      </c>
      <c r="E37" s="76">
        <v>99200</v>
      </c>
      <c r="F37" s="76">
        <v>9946511</v>
      </c>
      <c r="G37" s="75"/>
      <c r="H37" s="75"/>
      <c r="I37" s="76"/>
      <c r="J37" s="75">
        <v>7.2499999999999995E-2</v>
      </c>
      <c r="K37" s="76">
        <f t="shared" si="37"/>
        <v>7192</v>
      </c>
      <c r="L37" s="75">
        <v>17</v>
      </c>
      <c r="M37" s="77">
        <f>F37-F36</f>
        <v>5630</v>
      </c>
      <c r="N37" s="75">
        <v>50</v>
      </c>
      <c r="O37" s="75">
        <v>50</v>
      </c>
      <c r="P37" s="108">
        <v>0</v>
      </c>
      <c r="Q37" s="77">
        <f>M37*N37/C36</f>
        <v>2815</v>
      </c>
      <c r="R37" s="77">
        <f>M37*O37/C36</f>
        <v>2815</v>
      </c>
      <c r="S37" s="110">
        <f>M37*P37/C36</f>
        <v>0</v>
      </c>
      <c r="T37" s="75"/>
      <c r="U37" s="76">
        <f>-C37*E37+K37+F37</f>
        <v>33703</v>
      </c>
    </row>
    <row r="38" spans="1:26">
      <c r="A38" s="78" t="s">
        <v>1044</v>
      </c>
      <c r="B38" s="78" t="s">
        <v>968</v>
      </c>
      <c r="C38" s="78">
        <v>500</v>
      </c>
      <c r="D38" s="78" t="s">
        <v>61</v>
      </c>
      <c r="E38" s="79">
        <v>91000</v>
      </c>
      <c r="F38" s="79">
        <v>46785986</v>
      </c>
      <c r="G38" s="78">
        <v>0</v>
      </c>
      <c r="H38" s="78">
        <v>16</v>
      </c>
      <c r="I38" s="79">
        <f>F38*G38*($AE$2-H38)/(36500)</f>
        <v>0</v>
      </c>
      <c r="J38" s="78">
        <v>7.2499999999999995E-2</v>
      </c>
      <c r="K38" s="79">
        <f t="shared" ref="K38:K55" si="39">C38*E38*J38/100</f>
        <v>32987.5</v>
      </c>
      <c r="L38" s="78">
        <f>(E38*(1+J38/100)+I38/C38)/(1-J39/100)-(U38/C38)*(G38/365)*($AE$2/100)</f>
        <v>91132.045733156541</v>
      </c>
      <c r="M38" s="80"/>
      <c r="N38" s="78"/>
      <c r="O38" s="78"/>
      <c r="P38" s="111"/>
      <c r="Q38" s="80"/>
      <c r="R38" s="80"/>
      <c r="S38" s="112"/>
      <c r="T38" s="78"/>
      <c r="U38" s="79">
        <f t="shared" ref="U38" si="40">C38*E38+K38-F38</f>
        <v>-1252998.5</v>
      </c>
    </row>
    <row r="39" spans="1:26">
      <c r="A39" s="78" t="s">
        <v>1044</v>
      </c>
      <c r="B39" s="78" t="s">
        <v>968</v>
      </c>
      <c r="C39" s="78">
        <v>500</v>
      </c>
      <c r="D39" s="78" t="s">
        <v>956</v>
      </c>
      <c r="E39" s="79">
        <v>92000</v>
      </c>
      <c r="F39" s="79">
        <v>47219599</v>
      </c>
      <c r="G39" s="78"/>
      <c r="H39" s="78"/>
      <c r="I39" s="79"/>
      <c r="J39" s="78">
        <v>7.2499999999999995E-2</v>
      </c>
      <c r="K39" s="79">
        <f t="shared" si="39"/>
        <v>33350</v>
      </c>
      <c r="L39" s="78">
        <v>18</v>
      </c>
      <c r="M39" s="80">
        <f>F39-F38</f>
        <v>433613</v>
      </c>
      <c r="N39" s="78">
        <v>250</v>
      </c>
      <c r="O39" s="78">
        <v>250</v>
      </c>
      <c r="P39" s="111">
        <v>0</v>
      </c>
      <c r="Q39" s="80">
        <f t="shared" ref="Q39" si="41">M39*N39/C38</f>
        <v>216806.5</v>
      </c>
      <c r="R39" s="80">
        <f t="shared" ref="R39" si="42">M39*O39/C38</f>
        <v>216806.5</v>
      </c>
      <c r="S39" s="112">
        <f>M39*P39/C38</f>
        <v>0</v>
      </c>
      <c r="T39" s="78"/>
      <c r="U39" s="79">
        <f t="shared" ref="U39" si="43">-C39*E39+K39+F39</f>
        <v>1252949</v>
      </c>
    </row>
    <row r="40" spans="1:26">
      <c r="A40" s="75" t="s">
        <v>1044</v>
      </c>
      <c r="B40" s="75" t="s">
        <v>945</v>
      </c>
      <c r="C40" s="75">
        <v>8</v>
      </c>
      <c r="D40" s="76" t="s">
        <v>61</v>
      </c>
      <c r="E40" s="76">
        <v>82200</v>
      </c>
      <c r="F40" s="76">
        <v>658076</v>
      </c>
      <c r="G40" s="75">
        <v>6</v>
      </c>
      <c r="H40" s="75">
        <v>0</v>
      </c>
      <c r="I40" s="75">
        <f>F40*G40*($AE$2-H40)/(36500)</f>
        <v>2163.5375342465754</v>
      </c>
      <c r="J40" s="75">
        <v>7.2499999999999995E-2</v>
      </c>
      <c r="K40" s="75">
        <f>C40*E40*J40/100</f>
        <v>476.76</v>
      </c>
      <c r="L40" s="75">
        <f>(E40*(1+J40/100)+I40/C40)/(1-J41/100)-(U40/C40)*(G40/365)*($AE$2/100)</f>
        <v>82589.914880068871</v>
      </c>
      <c r="M40" s="75"/>
      <c r="N40" s="75"/>
      <c r="O40" s="75"/>
      <c r="P40" s="108"/>
      <c r="Q40" s="75"/>
      <c r="R40" s="75"/>
      <c r="S40" s="108"/>
      <c r="T40" s="76"/>
      <c r="U40" s="76">
        <v>0</v>
      </c>
    </row>
    <row r="41" spans="1:26">
      <c r="A41" s="75" t="s">
        <v>1081</v>
      </c>
      <c r="B41" s="75" t="s">
        <v>945</v>
      </c>
      <c r="C41" s="75">
        <v>8</v>
      </c>
      <c r="D41" s="75" t="s">
        <v>956</v>
      </c>
      <c r="E41" s="76">
        <v>82630</v>
      </c>
      <c r="F41" s="76">
        <v>660560</v>
      </c>
      <c r="G41" s="75"/>
      <c r="H41" s="76"/>
      <c r="I41" s="75">
        <f>F41*G41*($AE$2-H41)/(36500)</f>
        <v>0</v>
      </c>
      <c r="J41" s="75">
        <v>7.2499999999999995E-2</v>
      </c>
      <c r="K41" s="75">
        <f>C41*E41*J41/100</f>
        <v>479.25399999999996</v>
      </c>
      <c r="L41" s="75">
        <v>19</v>
      </c>
      <c r="M41" s="76">
        <f t="shared" ref="M41" si="44">F41-F40</f>
        <v>2484</v>
      </c>
      <c r="N41" s="75">
        <v>4</v>
      </c>
      <c r="O41" s="76">
        <f>C40-N41</f>
        <v>4</v>
      </c>
      <c r="P41" s="109">
        <v>0</v>
      </c>
      <c r="Q41" s="76">
        <f>M41*N41/C40</f>
        <v>1242</v>
      </c>
      <c r="R41" s="75">
        <f>M41*O41/C40</f>
        <v>1242</v>
      </c>
      <c r="S41" s="108">
        <f>M41*P41/C40</f>
        <v>0</v>
      </c>
      <c r="T41" s="76"/>
      <c r="U41" s="76">
        <v>0</v>
      </c>
    </row>
    <row r="42" spans="1:26">
      <c r="A42" s="78" t="s">
        <v>1044</v>
      </c>
      <c r="B42" s="78" t="s">
        <v>971</v>
      </c>
      <c r="C42" s="78">
        <v>1900</v>
      </c>
      <c r="D42" s="78" t="s">
        <v>61</v>
      </c>
      <c r="E42" s="79">
        <v>85537</v>
      </c>
      <c r="F42" s="79">
        <v>170893386</v>
      </c>
      <c r="G42" s="78">
        <v>8</v>
      </c>
      <c r="H42" s="78">
        <v>15</v>
      </c>
      <c r="I42" s="79">
        <f>F42*G42*($AE$2-H42)/(36500)</f>
        <v>187280.42301369863</v>
      </c>
      <c r="J42" s="78">
        <v>7.2499999999999995E-2</v>
      </c>
      <c r="K42" s="79">
        <f>C42*E42*J42/100</f>
        <v>117827.2175</v>
      </c>
      <c r="L42" s="78">
        <f>(E42*(1+J42/100)+I42/C42)/(1-J43/100)-(U42/C42)*(G42/365)*($AE$2/100)</f>
        <v>85778.80481263742</v>
      </c>
      <c r="M42" s="80"/>
      <c r="N42" s="78"/>
      <c r="O42" s="78"/>
      <c r="P42" s="111"/>
      <c r="Q42" s="80"/>
      <c r="R42" s="80"/>
      <c r="S42" s="112"/>
      <c r="T42" s="78"/>
      <c r="U42" s="79">
        <f>C42*E42+K42-F42</f>
        <v>-8255258.7824999988</v>
      </c>
    </row>
    <row r="43" spans="1:26">
      <c r="A43" s="78" t="s">
        <v>1082</v>
      </c>
      <c r="B43" s="78" t="s">
        <v>971</v>
      </c>
      <c r="C43" s="78">
        <v>1900</v>
      </c>
      <c r="D43" s="78" t="s">
        <v>956</v>
      </c>
      <c r="E43" s="79">
        <v>85899</v>
      </c>
      <c r="F43" s="79">
        <v>171903709</v>
      </c>
      <c r="G43" s="78"/>
      <c r="H43" s="78"/>
      <c r="I43" s="79"/>
      <c r="J43" s="78">
        <v>7.2499999999999995E-2</v>
      </c>
      <c r="K43" s="79">
        <f>C43*E43*J43/100</f>
        <v>118325.8725</v>
      </c>
      <c r="L43" s="78">
        <v>20</v>
      </c>
      <c r="M43" s="80">
        <f>F43-F42</f>
        <v>1010323</v>
      </c>
      <c r="N43" s="78">
        <v>950</v>
      </c>
      <c r="O43" s="78">
        <v>950</v>
      </c>
      <c r="P43" s="111">
        <v>0</v>
      </c>
      <c r="Q43" s="80">
        <f t="shared" ref="Q43" si="45">M43*N43/C42</f>
        <v>505161.5</v>
      </c>
      <c r="R43" s="80">
        <f t="shared" ref="R43" si="46">M43*O43/C42</f>
        <v>505161.5</v>
      </c>
      <c r="S43" s="112">
        <f>M43*P43/C42</f>
        <v>0</v>
      </c>
      <c r="T43" s="78"/>
      <c r="U43" s="79">
        <f t="shared" ref="U43" si="47">-C43*E43+K43+F43</f>
        <v>8813934.8725000024</v>
      </c>
    </row>
    <row r="44" spans="1:26">
      <c r="A44" s="124" t="s">
        <v>1145</v>
      </c>
      <c r="B44" s="124" t="s">
        <v>1163</v>
      </c>
      <c r="C44" s="124">
        <v>100</v>
      </c>
      <c r="D44" s="124" t="s">
        <v>61</v>
      </c>
      <c r="E44" s="125">
        <v>183000</v>
      </c>
      <c r="F44" s="125">
        <v>18000000</v>
      </c>
      <c r="G44" s="124">
        <v>0</v>
      </c>
      <c r="H44" s="124">
        <v>0</v>
      </c>
      <c r="I44" s="125"/>
      <c r="J44" s="127">
        <v>0.125</v>
      </c>
      <c r="K44" s="125">
        <v>22875</v>
      </c>
      <c r="L44" s="124"/>
      <c r="M44" s="126"/>
      <c r="N44" s="124"/>
      <c r="O44" s="124"/>
      <c r="P44" s="126"/>
      <c r="Q44" s="126"/>
      <c r="R44" s="124"/>
      <c r="S44" s="125"/>
      <c r="T44" s="75" t="s">
        <v>1164</v>
      </c>
      <c r="U44" s="76"/>
    </row>
    <row r="45" spans="1:26">
      <c r="A45" s="124" t="s">
        <v>1145</v>
      </c>
      <c r="B45" s="124" t="s">
        <v>1165</v>
      </c>
      <c r="C45" s="124">
        <v>100</v>
      </c>
      <c r="D45" s="124" t="s">
        <v>956</v>
      </c>
      <c r="E45" s="125">
        <v>184000</v>
      </c>
      <c r="F45" s="125">
        <v>18068504</v>
      </c>
      <c r="G45" s="124"/>
      <c r="H45" s="124"/>
      <c r="I45" s="125"/>
      <c r="J45" s="127">
        <v>7.2499999999999995E-2</v>
      </c>
      <c r="K45" s="125"/>
      <c r="L45" s="124">
        <v>21</v>
      </c>
      <c r="M45" s="126">
        <f>F45-F44</f>
        <v>68504</v>
      </c>
      <c r="N45" s="124">
        <v>50</v>
      </c>
      <c r="O45" s="124">
        <v>50</v>
      </c>
      <c r="P45" s="126">
        <v>0</v>
      </c>
      <c r="Q45" s="126">
        <f t="shared" ref="Q45" si="48">M45*N45/C44</f>
        <v>34252</v>
      </c>
      <c r="R45" s="124">
        <f t="shared" ref="R45" si="49">M45*O45/C44</f>
        <v>34252</v>
      </c>
      <c r="S45" s="125">
        <f>M45*P45/C44</f>
        <v>0</v>
      </c>
      <c r="T45" s="75"/>
      <c r="U45" s="76"/>
    </row>
    <row r="46" spans="1:26">
      <c r="A46" s="127" t="s">
        <v>1145</v>
      </c>
      <c r="B46" s="127" t="s">
        <v>945</v>
      </c>
      <c r="C46" s="127">
        <v>347</v>
      </c>
      <c r="D46" s="127" t="s">
        <v>61</v>
      </c>
      <c r="E46" s="79">
        <v>82535</v>
      </c>
      <c r="F46" s="79">
        <v>28660327</v>
      </c>
      <c r="G46" s="127">
        <v>16</v>
      </c>
      <c r="H46" s="127">
        <v>0</v>
      </c>
      <c r="I46" s="79">
        <f>F46*G46*($AE$2-H46)/(36500)</f>
        <v>251268.6202739726</v>
      </c>
      <c r="J46" s="127">
        <v>7.2499999999999995E-2</v>
      </c>
      <c r="K46" s="79">
        <f>C46*E46*J46/100</f>
        <v>20763.742624999999</v>
      </c>
      <c r="L46" s="127">
        <f>(E46*(1+J46/100)+I46/C46)/(1-J47/100)-(U46/C46)*(G46/365)*($AE$2/100)</f>
        <v>83379.402939669802</v>
      </c>
      <c r="M46" s="112"/>
      <c r="N46" s="127"/>
      <c r="O46" s="127"/>
      <c r="P46" s="127"/>
      <c r="Q46" s="112"/>
      <c r="R46" s="112"/>
      <c r="S46" s="112"/>
      <c r="T46" s="127">
        <v>83140</v>
      </c>
      <c r="U46" s="79">
        <f>C46*E46+K46-F46</f>
        <v>81.742625001817942</v>
      </c>
    </row>
    <row r="47" spans="1:26">
      <c r="A47" s="127"/>
      <c r="B47" s="127"/>
      <c r="C47" s="127">
        <v>347</v>
      </c>
      <c r="D47" s="127" t="s">
        <v>956</v>
      </c>
      <c r="E47" s="79">
        <f>T46</f>
        <v>83140</v>
      </c>
      <c r="F47" s="79">
        <v>28828629</v>
      </c>
      <c r="G47" s="127"/>
      <c r="H47" s="127"/>
      <c r="I47" s="79"/>
      <c r="J47" s="127">
        <v>7.2499999999999995E-2</v>
      </c>
      <c r="K47" s="79">
        <f>C47*E47*J47/100</f>
        <v>20915.945499999998</v>
      </c>
      <c r="L47" s="127">
        <v>20</v>
      </c>
      <c r="M47" s="112">
        <f>F47-F46</f>
        <v>168302</v>
      </c>
      <c r="N47" s="127">
        <v>174.5</v>
      </c>
      <c r="O47" s="127">
        <v>131.5</v>
      </c>
      <c r="P47" s="127">
        <v>41</v>
      </c>
      <c r="Q47" s="112">
        <f t="shared" ref="Q47" si="50">M47*N47/C46</f>
        <v>84636.020172910663</v>
      </c>
      <c r="R47" s="112">
        <f t="shared" ref="R47" si="51">M47*O47/C46</f>
        <v>63780.152737752163</v>
      </c>
      <c r="S47" s="112">
        <f>M47*P47/C46</f>
        <v>19885.827089337177</v>
      </c>
      <c r="T47" s="127"/>
      <c r="U47" s="79">
        <f>-C47*E47+K47+F47</f>
        <v>-35.054499998688698</v>
      </c>
    </row>
    <row r="48" spans="1:26">
      <c r="A48" s="75"/>
      <c r="B48" s="75"/>
      <c r="C48" s="75"/>
      <c r="D48" s="75"/>
      <c r="E48" s="76"/>
      <c r="F48" s="76"/>
      <c r="G48" s="75"/>
      <c r="H48" s="75"/>
      <c r="I48" s="76"/>
      <c r="J48" s="78">
        <v>7.2499999999999995E-2</v>
      </c>
      <c r="K48" s="76"/>
      <c r="L48" s="75"/>
      <c r="M48" s="77"/>
      <c r="N48" s="75"/>
      <c r="O48" s="75"/>
      <c r="P48" s="108"/>
      <c r="Q48" s="77"/>
      <c r="R48" s="77"/>
      <c r="S48" s="110"/>
      <c r="T48" s="75"/>
      <c r="U48" s="76"/>
      <c r="Y48" t="s">
        <v>25</v>
      </c>
    </row>
    <row r="49" spans="1:22">
      <c r="A49" s="75"/>
      <c r="B49" s="75"/>
      <c r="C49" s="75"/>
      <c r="D49" s="75"/>
      <c r="E49" s="76"/>
      <c r="F49" s="76"/>
      <c r="G49" s="75"/>
      <c r="H49" s="75"/>
      <c r="I49" s="76"/>
      <c r="J49" s="78">
        <v>7.2499999999999995E-2</v>
      </c>
      <c r="K49" s="76"/>
      <c r="L49" s="75"/>
      <c r="M49" s="77"/>
      <c r="N49" s="75"/>
      <c r="O49" s="75"/>
      <c r="P49" s="108"/>
      <c r="Q49" s="77"/>
      <c r="R49" s="77"/>
      <c r="S49" s="110"/>
      <c r="T49" s="75"/>
      <c r="U49" s="76"/>
    </row>
    <row r="50" spans="1:22">
      <c r="A50" s="78"/>
      <c r="B50" s="78"/>
      <c r="C50" s="78"/>
      <c r="D50" s="78"/>
      <c r="E50" s="79"/>
      <c r="F50" s="79"/>
      <c r="G50" s="78"/>
      <c r="H50" s="78"/>
      <c r="I50" s="79"/>
      <c r="J50" s="78">
        <v>7.2499999999999995E-2</v>
      </c>
      <c r="K50" s="79"/>
      <c r="L50" s="78"/>
      <c r="M50" s="80"/>
      <c r="N50" s="78"/>
      <c r="O50" s="78"/>
      <c r="P50" s="111"/>
      <c r="Q50" s="80"/>
      <c r="R50" s="80"/>
      <c r="S50" s="112"/>
      <c r="T50" s="78"/>
      <c r="U50" s="79"/>
    </row>
    <row r="51" spans="1:22">
      <c r="A51" s="78"/>
      <c r="B51" s="78"/>
      <c r="C51" s="78"/>
      <c r="D51" s="78"/>
      <c r="E51" s="79"/>
      <c r="F51" s="79"/>
      <c r="G51" s="78"/>
      <c r="H51" s="78"/>
      <c r="I51" s="79"/>
      <c r="J51" s="78">
        <v>7.2499999999999995E-2</v>
      </c>
      <c r="K51" s="79"/>
      <c r="L51" s="78"/>
      <c r="M51" s="80"/>
      <c r="N51" s="78"/>
      <c r="O51" s="78"/>
      <c r="P51" s="111"/>
      <c r="Q51" s="80"/>
      <c r="R51" s="80"/>
      <c r="S51" s="112"/>
      <c r="T51" s="78"/>
      <c r="U51" s="79"/>
    </row>
    <row r="52" spans="1:22">
      <c r="A52" s="75"/>
      <c r="B52" s="75"/>
      <c r="C52" s="75">
        <v>1</v>
      </c>
      <c r="D52" s="75"/>
      <c r="E52" s="76"/>
      <c r="F52" s="76"/>
      <c r="G52" s="75"/>
      <c r="H52" s="75"/>
      <c r="I52" s="76">
        <f>F52*G52*($AE$2-H52)/(36500)</f>
        <v>0</v>
      </c>
      <c r="J52" s="75">
        <v>7.2499999999999995E-2</v>
      </c>
      <c r="K52" s="76">
        <f t="shared" si="39"/>
        <v>0</v>
      </c>
      <c r="L52" s="75">
        <f t="shared" ref="L52" si="52">(E52*(1+J52/100)+I52/C52)/(1-J53/100)</f>
        <v>0</v>
      </c>
      <c r="M52" s="77"/>
      <c r="N52" s="75"/>
      <c r="O52" s="75"/>
      <c r="P52" s="108"/>
      <c r="Q52" s="77"/>
      <c r="R52" s="77"/>
      <c r="S52" s="110"/>
      <c r="T52" s="75"/>
      <c r="U52" s="87">
        <f t="shared" ref="U52" si="53">C52*E52+K52-F52</f>
        <v>0</v>
      </c>
      <c r="V52" t="s">
        <v>25</v>
      </c>
    </row>
    <row r="53" spans="1:22">
      <c r="A53" s="75"/>
      <c r="B53" s="75"/>
      <c r="C53" s="75">
        <v>1</v>
      </c>
      <c r="D53" s="75"/>
      <c r="E53" s="76"/>
      <c r="F53" s="76"/>
      <c r="G53" s="75"/>
      <c r="H53" s="75"/>
      <c r="I53" s="76"/>
      <c r="J53" s="75">
        <v>7.2499999999999995E-2</v>
      </c>
      <c r="K53" s="76">
        <f t="shared" si="39"/>
        <v>0</v>
      </c>
      <c r="L53" s="75">
        <v>21</v>
      </c>
      <c r="M53" s="77">
        <f t="shared" ref="M53" si="54">F53-F52</f>
        <v>0</v>
      </c>
      <c r="N53" s="75">
        <v>50</v>
      </c>
      <c r="O53" s="75">
        <v>50</v>
      </c>
      <c r="P53" s="108"/>
      <c r="Q53" s="77">
        <f t="shared" ref="Q53" si="55">M53*N53/C52</f>
        <v>0</v>
      </c>
      <c r="R53" s="77">
        <f t="shared" ref="R53" si="56">M53*O53/C52</f>
        <v>0</v>
      </c>
      <c r="S53" s="110"/>
      <c r="T53" s="75"/>
      <c r="U53" s="87">
        <f t="shared" ref="U53" si="57">-C53*E53+K53+F53</f>
        <v>0</v>
      </c>
    </row>
    <row r="54" spans="1:22">
      <c r="A54" s="78"/>
      <c r="B54" s="78"/>
      <c r="C54" s="78">
        <v>1</v>
      </c>
      <c r="D54" s="78"/>
      <c r="E54" s="78"/>
      <c r="F54" s="78"/>
      <c r="G54" s="78"/>
      <c r="H54" s="78"/>
      <c r="I54" s="78">
        <f>F54*G54*($AE$2-H54)/(36500)</f>
        <v>0</v>
      </c>
      <c r="J54" s="78">
        <v>7.2499999999999995E-2</v>
      </c>
      <c r="K54" s="78">
        <f t="shared" si="39"/>
        <v>0</v>
      </c>
      <c r="L54" s="78">
        <f t="shared" ref="L54" si="58">(E54*(1+J54/100)+I54/C54)/(1-J55/100)</f>
        <v>0</v>
      </c>
      <c r="M54" s="78"/>
      <c r="N54" s="78"/>
      <c r="O54" s="78"/>
      <c r="P54" s="111"/>
      <c r="Q54" s="78"/>
      <c r="R54" s="78"/>
      <c r="S54" s="111"/>
      <c r="T54" s="78"/>
      <c r="U54" s="79">
        <f t="shared" ref="U54" si="59">C54*E54+K54-F54</f>
        <v>0</v>
      </c>
    </row>
    <row r="55" spans="1:22">
      <c r="A55" s="78"/>
      <c r="B55" s="78"/>
      <c r="C55" s="78">
        <v>1</v>
      </c>
      <c r="D55" s="78"/>
      <c r="E55" s="78"/>
      <c r="F55" s="78"/>
      <c r="G55" s="78"/>
      <c r="H55" s="78"/>
      <c r="I55" s="78"/>
      <c r="J55" s="78">
        <v>7.2499999999999995E-2</v>
      </c>
      <c r="K55" s="78">
        <f t="shared" si="39"/>
        <v>0</v>
      </c>
      <c r="L55" s="78">
        <v>22</v>
      </c>
      <c r="M55" s="78">
        <f t="shared" ref="M55" si="60">F55-F54</f>
        <v>0</v>
      </c>
      <c r="N55" s="78">
        <v>50</v>
      </c>
      <c r="O55" s="78">
        <v>50</v>
      </c>
      <c r="P55" s="111"/>
      <c r="Q55" s="78">
        <f t="shared" ref="Q55" si="61">M55*N55/C54</f>
        <v>0</v>
      </c>
      <c r="R55" s="78">
        <f t="shared" ref="R55" si="62">M55*O55/C54</f>
        <v>0</v>
      </c>
      <c r="S55" s="111"/>
      <c r="T55" s="78"/>
      <c r="U55" s="79">
        <f t="shared" ref="U55" si="63">-C55*E55+K55+F55</f>
        <v>0</v>
      </c>
    </row>
    <row r="56" spans="1:22">
      <c r="V56" t="s">
        <v>25</v>
      </c>
    </row>
    <row r="58" spans="1:22">
      <c r="A58" s="82" t="s">
        <v>1260</v>
      </c>
      <c r="B58" s="82" t="s">
        <v>1268</v>
      </c>
      <c r="C58" s="82">
        <v>10</v>
      </c>
      <c r="D58" s="82" t="s">
        <v>61</v>
      </c>
      <c r="E58" s="76">
        <v>1827000</v>
      </c>
      <c r="F58" s="76">
        <v>5400000</v>
      </c>
      <c r="G58" s="82">
        <v>3</v>
      </c>
      <c r="H58" s="82">
        <v>10</v>
      </c>
      <c r="I58" s="79">
        <f>F58*G58*($AE$2-H58)/(36500)</f>
        <v>4438.3561643835619</v>
      </c>
      <c r="J58" s="82">
        <v>0</v>
      </c>
      <c r="K58" s="76">
        <v>3000</v>
      </c>
      <c r="L58" s="76">
        <f>E58+0.1*(I58+K58+K59)</f>
        <v>1828043.8356164384</v>
      </c>
      <c r="M58" s="76"/>
      <c r="N58" s="82"/>
      <c r="O58" s="82"/>
      <c r="P58" s="114"/>
      <c r="Q58" s="82"/>
      <c r="R58" s="82"/>
      <c r="S58" s="114"/>
      <c r="T58" s="82"/>
      <c r="U58" s="83"/>
    </row>
    <row r="59" spans="1:22">
      <c r="A59" s="82" t="s">
        <v>25</v>
      </c>
      <c r="B59" s="82"/>
      <c r="C59" s="82"/>
      <c r="D59" s="82"/>
      <c r="E59" s="109"/>
      <c r="F59" s="109"/>
      <c r="G59" s="82"/>
      <c r="H59" s="82"/>
      <c r="I59" s="82"/>
      <c r="J59" s="82">
        <v>0</v>
      </c>
      <c r="K59" s="76">
        <v>3000</v>
      </c>
      <c r="L59" s="76"/>
      <c r="M59" s="76"/>
      <c r="N59" s="82"/>
      <c r="O59" s="82"/>
      <c r="P59" s="114"/>
      <c r="Q59" s="76"/>
      <c r="R59" s="76"/>
      <c r="S59" s="109"/>
      <c r="T59" s="82"/>
      <c r="U59" s="83"/>
    </row>
    <row r="60" spans="1:22">
      <c r="A60" s="16"/>
      <c r="B60" s="16"/>
      <c r="C60" s="16"/>
      <c r="D60" s="16"/>
      <c r="E60" s="16"/>
      <c r="F60" s="16"/>
      <c r="G60" s="16"/>
      <c r="H60" s="16"/>
      <c r="I60" s="14"/>
      <c r="J60" s="16"/>
      <c r="K60" s="16"/>
      <c r="L60" s="16"/>
      <c r="M60" s="16"/>
      <c r="N60" s="16"/>
      <c r="O60" s="16"/>
      <c r="P60" s="106"/>
      <c r="Q60" s="16"/>
      <c r="R60" s="16"/>
      <c r="S60" s="106"/>
      <c r="T60" s="16"/>
      <c r="U60" s="14">
        <f t="shared" ref="U60" si="64">-C60*E60+K60+F60</f>
        <v>0</v>
      </c>
    </row>
    <row r="61" spans="1:22">
      <c r="A61" s="16"/>
      <c r="B61" s="16"/>
      <c r="C61" s="16"/>
      <c r="D61" s="16"/>
      <c r="E61" s="16"/>
      <c r="F61" s="16"/>
      <c r="G61" s="16"/>
      <c r="H61" s="16"/>
      <c r="I61" s="14"/>
      <c r="J61" s="16"/>
      <c r="K61" s="16"/>
      <c r="L61" s="16"/>
      <c r="M61" s="16"/>
      <c r="N61" s="16"/>
      <c r="O61" s="16"/>
      <c r="P61" s="106"/>
      <c r="Q61" s="16"/>
      <c r="R61" s="16"/>
      <c r="S61" s="106"/>
      <c r="T61" s="16"/>
      <c r="U61" s="14">
        <f t="shared" ref="U61" si="65">C61*E61+K61-F61</f>
        <v>0</v>
      </c>
    </row>
    <row r="62" spans="1:22">
      <c r="A62" s="82"/>
      <c r="B62" s="82"/>
      <c r="C62" s="82"/>
      <c r="D62" s="82"/>
      <c r="E62" s="82"/>
      <c r="F62" s="82"/>
      <c r="G62" s="82"/>
      <c r="H62" s="82"/>
      <c r="I62" s="83"/>
      <c r="J62" s="82"/>
      <c r="K62" s="82"/>
      <c r="L62" s="82"/>
      <c r="M62" s="82"/>
      <c r="N62" s="82"/>
      <c r="O62" s="82"/>
      <c r="P62" s="114"/>
      <c r="Q62" s="82"/>
      <c r="R62" s="82"/>
      <c r="S62" s="114"/>
      <c r="T62" s="82"/>
      <c r="U62" s="83">
        <f t="shared" ref="U62" si="66">-C62*E62+K62+F62</f>
        <v>0</v>
      </c>
      <c r="V62" t="s">
        <v>25</v>
      </c>
    </row>
    <row r="63" spans="1:22">
      <c r="A63" s="82"/>
      <c r="B63" s="82"/>
      <c r="C63" s="82"/>
      <c r="D63" s="82"/>
      <c r="E63" s="82"/>
      <c r="F63" s="82"/>
      <c r="G63" s="82"/>
      <c r="H63" s="82"/>
      <c r="I63" s="83"/>
      <c r="J63" s="82"/>
      <c r="K63" s="82"/>
      <c r="L63" s="82"/>
      <c r="M63" s="82"/>
      <c r="N63" s="82"/>
      <c r="O63" s="82"/>
      <c r="P63" s="114"/>
      <c r="Q63" s="82"/>
      <c r="R63" s="82"/>
      <c r="S63" s="114"/>
      <c r="T63" s="82"/>
      <c r="U63" s="83">
        <f t="shared" ref="U63" si="67">C63*E63+K63-F63</f>
        <v>0</v>
      </c>
    </row>
    <row r="64" spans="1:22">
      <c r="A64" s="16"/>
      <c r="B64" s="16"/>
      <c r="C64" s="16"/>
      <c r="D64" s="16"/>
      <c r="E64" s="16"/>
      <c r="F64" s="16"/>
      <c r="G64" s="16"/>
      <c r="H64" s="16"/>
      <c r="I64" s="14"/>
      <c r="J64" s="16"/>
      <c r="K64" s="16"/>
      <c r="L64" s="16"/>
      <c r="M64" s="16"/>
      <c r="N64" s="16"/>
      <c r="O64" s="16"/>
      <c r="P64" s="106"/>
      <c r="Q64" s="16"/>
      <c r="R64" s="16"/>
      <c r="S64" s="106"/>
      <c r="T64" s="16"/>
      <c r="U64" s="14">
        <f t="shared" ref="U64" si="68">-C64*E64+K64+F64</f>
        <v>0</v>
      </c>
    </row>
    <row r="65" spans="1:21">
      <c r="A65" s="16"/>
      <c r="B65" s="16"/>
      <c r="C65" s="16"/>
      <c r="D65" s="16"/>
      <c r="E65" s="16"/>
      <c r="F65" s="16"/>
      <c r="G65" s="16"/>
      <c r="H65" s="16"/>
      <c r="I65" s="14" t="s">
        <v>25</v>
      </c>
      <c r="J65" s="16"/>
      <c r="K65" s="16"/>
      <c r="L65" s="16"/>
      <c r="M65" s="16"/>
      <c r="N65" s="16"/>
      <c r="O65" s="16"/>
      <c r="P65" s="106"/>
      <c r="Q65" s="16"/>
      <c r="R65" s="16"/>
      <c r="S65" s="106"/>
      <c r="T65" s="16"/>
      <c r="U65" s="14">
        <f t="shared" ref="U65" si="69">C65*E65+K65-F65</f>
        <v>0</v>
      </c>
    </row>
    <row r="66" spans="1:21">
      <c r="A66" s="82"/>
      <c r="B66" s="82"/>
      <c r="C66" s="82"/>
      <c r="D66" s="82"/>
      <c r="E66" s="82"/>
      <c r="F66" s="82"/>
      <c r="G66" s="82"/>
      <c r="H66" s="82"/>
      <c r="I66" s="83"/>
      <c r="J66" s="82"/>
      <c r="K66" s="82"/>
      <c r="L66" s="82"/>
      <c r="M66" s="82"/>
      <c r="N66" s="82"/>
      <c r="O66" s="82"/>
      <c r="P66" s="114"/>
      <c r="Q66" s="82"/>
      <c r="R66" s="82"/>
      <c r="S66" s="114"/>
      <c r="T66" s="82"/>
      <c r="U66" s="83">
        <f t="shared" ref="U66" si="70">-C66*E66+K66+F66</f>
        <v>0</v>
      </c>
    </row>
    <row r="67" spans="1:21">
      <c r="A67" s="82"/>
      <c r="B67" s="82"/>
      <c r="C67" s="82"/>
      <c r="D67" s="82"/>
      <c r="E67" s="82"/>
      <c r="F67" s="82"/>
      <c r="G67" s="82"/>
      <c r="H67" s="82"/>
      <c r="I67" s="83"/>
      <c r="J67" s="82"/>
      <c r="K67" s="82"/>
      <c r="L67" s="82"/>
      <c r="M67" s="82"/>
      <c r="N67" s="82"/>
      <c r="O67" s="82"/>
      <c r="P67" s="114"/>
      <c r="Q67" s="82"/>
      <c r="R67" s="82"/>
      <c r="S67" s="114"/>
      <c r="T67" s="82"/>
      <c r="U67" s="83">
        <f t="shared" ref="U67" si="71">C67*E67+K67-F67</f>
        <v>0</v>
      </c>
    </row>
    <row r="68" spans="1:21">
      <c r="A68" s="82"/>
      <c r="B68" s="82"/>
      <c r="C68" s="82"/>
      <c r="D68" s="82"/>
      <c r="E68" s="82"/>
      <c r="F68" s="82"/>
      <c r="G68" s="82"/>
      <c r="H68" s="82"/>
      <c r="I68" s="83"/>
      <c r="J68" s="82"/>
      <c r="K68" s="82"/>
      <c r="L68" s="82"/>
      <c r="M68" s="82"/>
      <c r="N68" s="82"/>
      <c r="O68" s="82"/>
      <c r="P68" s="114"/>
      <c r="Q68" s="82"/>
      <c r="R68" s="82"/>
      <c r="S68" s="114"/>
      <c r="T68" s="82"/>
      <c r="U68" s="83">
        <f t="shared" ref="U68" si="72">-C68*E68+K68+F68</f>
        <v>0</v>
      </c>
    </row>
    <row r="69" spans="1:21">
      <c r="A69" s="20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81"/>
      <c r="O69" s="81"/>
      <c r="P69" s="113"/>
      <c r="Q69" s="11"/>
      <c r="R69" s="11"/>
      <c r="S69" s="105"/>
      <c r="T69" s="11"/>
    </row>
    <row r="70" spans="1:21">
      <c r="A70" s="20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3">
        <f>SUM(M44:M68)</f>
        <v>236806</v>
      </c>
      <c r="N70" s="11"/>
      <c r="O70" s="11"/>
      <c r="P70" s="105"/>
      <c r="Q70" s="3">
        <f>SUM(Q48:Q69)</f>
        <v>0</v>
      </c>
      <c r="R70" s="119">
        <f t="shared" ref="R70:S70" si="73">SUM(R48:R69)</f>
        <v>0</v>
      </c>
      <c r="S70" s="119">
        <f t="shared" si="73"/>
        <v>0</v>
      </c>
      <c r="T70" s="11"/>
      <c r="U70" t="s">
        <v>25</v>
      </c>
    </row>
    <row r="71" spans="1:2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 t="s">
        <v>191</v>
      </c>
      <c r="N71" s="11"/>
      <c r="O71" s="11"/>
      <c r="P71" s="105"/>
      <c r="Q71" s="11" t="s">
        <v>1031</v>
      </c>
      <c r="R71" s="11" t="s">
        <v>1032</v>
      </c>
      <c r="S71" s="105" t="s">
        <v>1162</v>
      </c>
      <c r="T71" s="11"/>
      <c r="U71" t="s">
        <v>25</v>
      </c>
    </row>
    <row r="72" spans="1:21">
      <c r="A72" s="25"/>
    </row>
    <row r="73" spans="1:21">
      <c r="A73" s="25"/>
    </row>
    <row r="74" spans="1:21">
      <c r="F74" s="7"/>
    </row>
    <row r="81" spans="3:14">
      <c r="H81">
        <v>180000000</v>
      </c>
    </row>
    <row r="82" spans="3:14">
      <c r="C82">
        <v>80</v>
      </c>
      <c r="D82">
        <v>1759999</v>
      </c>
      <c r="E82" t="s">
        <v>1139</v>
      </c>
      <c r="F82">
        <f>C82*D82</f>
        <v>140799920</v>
      </c>
      <c r="G82">
        <f>F82*0.00125</f>
        <v>175999.9</v>
      </c>
      <c r="H82">
        <f>-F82-G82</f>
        <v>-140975919.90000001</v>
      </c>
    </row>
    <row r="83" spans="3:14">
      <c r="C83">
        <v>20</v>
      </c>
      <c r="D83">
        <v>1760000</v>
      </c>
      <c r="E83" t="s">
        <v>61</v>
      </c>
      <c r="F83">
        <f t="shared" ref="F83:F90" si="74">C83*D83</f>
        <v>35200000</v>
      </c>
      <c r="G83">
        <f t="shared" ref="G83:G90" si="75">F83*0.00125</f>
        <v>44000</v>
      </c>
      <c r="H83">
        <f>-F83-G83</f>
        <v>-35244000</v>
      </c>
    </row>
    <row r="84" spans="3:14">
      <c r="C84">
        <v>100</v>
      </c>
      <c r="D84">
        <v>1769999</v>
      </c>
      <c r="E84" t="s">
        <v>956</v>
      </c>
      <c r="F84">
        <f t="shared" si="74"/>
        <v>176999900</v>
      </c>
      <c r="G84">
        <f t="shared" si="75"/>
        <v>221249.875</v>
      </c>
      <c r="H84">
        <f>F84-G84</f>
        <v>176778650.125</v>
      </c>
    </row>
    <row r="85" spans="3:14">
      <c r="C85">
        <v>20</v>
      </c>
      <c r="D85">
        <v>1779000</v>
      </c>
      <c r="E85" t="s">
        <v>61</v>
      </c>
      <c r="F85">
        <f t="shared" si="74"/>
        <v>35580000</v>
      </c>
      <c r="G85">
        <f t="shared" si="75"/>
        <v>44475</v>
      </c>
      <c r="H85">
        <f>-F85-G85</f>
        <v>-35624475</v>
      </c>
    </row>
    <row r="86" spans="3:14">
      <c r="C86">
        <v>80</v>
      </c>
      <c r="D86">
        <v>1780000</v>
      </c>
      <c r="E86" t="s">
        <v>61</v>
      </c>
      <c r="F86">
        <f t="shared" si="74"/>
        <v>142400000</v>
      </c>
      <c r="G86">
        <f t="shared" si="75"/>
        <v>178000</v>
      </c>
      <c r="H86">
        <f>-F86-G86</f>
        <v>-142578000</v>
      </c>
    </row>
    <row r="87" spans="3:14">
      <c r="C87">
        <v>30</v>
      </c>
      <c r="D87">
        <v>1774001</v>
      </c>
      <c r="E87" t="s">
        <v>956</v>
      </c>
      <c r="F87">
        <f t="shared" si="74"/>
        <v>53220030</v>
      </c>
      <c r="G87">
        <f t="shared" si="75"/>
        <v>66525.037500000006</v>
      </c>
      <c r="H87">
        <f>F87-G87</f>
        <v>53153504.962499999</v>
      </c>
      <c r="I87" s="25"/>
    </row>
    <row r="88" spans="3:14">
      <c r="C88">
        <v>10</v>
      </c>
      <c r="D88">
        <v>1774000</v>
      </c>
      <c r="E88" t="s">
        <v>956</v>
      </c>
      <c r="F88">
        <f t="shared" si="74"/>
        <v>17740000</v>
      </c>
      <c r="G88">
        <f t="shared" si="75"/>
        <v>22175</v>
      </c>
      <c r="H88">
        <f t="shared" ref="H88:H89" si="76">F88-G88</f>
        <v>17717825</v>
      </c>
      <c r="I88" s="25"/>
    </row>
    <row r="89" spans="3:14">
      <c r="C89">
        <v>40</v>
      </c>
      <c r="D89">
        <v>1771000</v>
      </c>
      <c r="E89" t="s">
        <v>956</v>
      </c>
      <c r="F89">
        <f t="shared" si="74"/>
        <v>70840000</v>
      </c>
      <c r="G89">
        <f t="shared" si="75"/>
        <v>88550</v>
      </c>
      <c r="H89">
        <f t="shared" si="76"/>
        <v>70751450</v>
      </c>
      <c r="I89" s="28"/>
    </row>
    <row r="90" spans="3:14">
      <c r="C90">
        <v>20</v>
      </c>
      <c r="D90">
        <v>1790000</v>
      </c>
      <c r="E90" t="s">
        <v>956</v>
      </c>
      <c r="F90">
        <f t="shared" si="74"/>
        <v>35800000</v>
      </c>
      <c r="G90">
        <f t="shared" si="75"/>
        <v>44750</v>
      </c>
      <c r="H90">
        <f>F90-G90</f>
        <v>35755250</v>
      </c>
    </row>
    <row r="92" spans="3:14">
      <c r="N92" s="25"/>
    </row>
    <row r="93" spans="3:14">
      <c r="N93" s="25"/>
    </row>
    <row r="94" spans="3:14">
      <c r="N94" s="25"/>
    </row>
    <row r="95" spans="3:14">
      <c r="N95" s="25"/>
    </row>
    <row r="96" spans="3:14">
      <c r="N96" s="25"/>
    </row>
    <row r="97" spans="14:14">
      <c r="N97" s="25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75"/>
  <sheetViews>
    <sheetView zoomScaleNormal="100" workbookViewId="0">
      <pane xSplit="1" topLeftCell="T1" activePane="topRight" state="frozen"/>
      <selection pane="topRight" activeCell="AA28" sqref="AA28"/>
    </sheetView>
  </sheetViews>
  <sheetFormatPr defaultRowHeight="15"/>
  <cols>
    <col min="2" max="12" width="13.28515625" bestFit="1" customWidth="1"/>
    <col min="13" max="13" width="12.42578125" customWidth="1"/>
    <col min="14" max="14" width="6.85546875" customWidth="1"/>
    <col min="16" max="16" width="6.7109375" customWidth="1"/>
    <col min="17" max="17" width="5.7109375" customWidth="1"/>
    <col min="18" max="18" width="13.42578125" bestFit="1" customWidth="1"/>
    <col min="19" max="19" width="14" customWidth="1"/>
    <col min="20" max="20" width="13.28515625" bestFit="1" customWidth="1"/>
    <col min="21" max="21" width="23.5703125" customWidth="1"/>
    <col min="22" max="22" width="26" bestFit="1" customWidth="1"/>
    <col min="24" max="25" width="12.42578125" bestFit="1" customWidth="1"/>
    <col min="26" max="26" width="13.28515625" bestFit="1" customWidth="1"/>
    <col min="27" max="27" width="12.42578125" bestFit="1" customWidth="1"/>
    <col min="28" max="28" width="11.42578125" bestFit="1" customWidth="1"/>
    <col min="29" max="29" width="18.85546875" bestFit="1" customWidth="1"/>
    <col min="30" max="30" width="16.140625" bestFit="1" customWidth="1"/>
    <col min="31" max="31" width="13.28515625" bestFit="1" customWidth="1"/>
    <col min="32" max="32" width="12.42578125" bestFit="1" customWidth="1"/>
    <col min="38" max="38" width="38.42578125" bestFit="1" customWidth="1"/>
    <col min="39" max="39" width="14.5703125" bestFit="1" customWidth="1"/>
  </cols>
  <sheetData>
    <row r="1" spans="1:39">
      <c r="A1" s="11" t="s">
        <v>966</v>
      </c>
      <c r="B1" s="11">
        <v>21.4</v>
      </c>
      <c r="C1" s="11">
        <v>21</v>
      </c>
      <c r="D1" s="11">
        <v>20.5</v>
      </c>
      <c r="E1" s="11">
        <v>20</v>
      </c>
      <c r="F1" s="11">
        <v>19.5</v>
      </c>
      <c r="G1" s="11">
        <v>19</v>
      </c>
      <c r="H1" s="11">
        <v>18.5</v>
      </c>
      <c r="I1" s="11">
        <v>18</v>
      </c>
      <c r="J1" s="11">
        <v>17.5</v>
      </c>
      <c r="K1" s="11">
        <v>17</v>
      </c>
      <c r="L1" s="11" t="s">
        <v>1067</v>
      </c>
      <c r="M1" s="11" t="s">
        <v>979</v>
      </c>
      <c r="N1" s="11" t="s">
        <v>1057</v>
      </c>
      <c r="O1" s="11" t="s">
        <v>981</v>
      </c>
      <c r="P1" s="11" t="s">
        <v>1063</v>
      </c>
      <c r="Q1" s="11" t="s">
        <v>982</v>
      </c>
      <c r="R1" s="11" t="s">
        <v>1016</v>
      </c>
      <c r="S1" s="11" t="s">
        <v>993</v>
      </c>
      <c r="T1" s="11" t="s">
        <v>948</v>
      </c>
      <c r="U1" s="69" t="s">
        <v>1062</v>
      </c>
      <c r="W1">
        <v>96</v>
      </c>
      <c r="X1">
        <v>12</v>
      </c>
      <c r="Y1" s="3">
        <v>85500</v>
      </c>
      <c r="Z1" s="3">
        <f>Y1</f>
        <v>85500</v>
      </c>
      <c r="AA1" s="3">
        <v>0</v>
      </c>
      <c r="AC1" t="s">
        <v>962</v>
      </c>
      <c r="AD1" t="s">
        <v>1021</v>
      </c>
      <c r="AE1" t="s">
        <v>1022</v>
      </c>
      <c r="AI1">
        <v>0.51500000000000001</v>
      </c>
      <c r="AJ1" t="s">
        <v>1048</v>
      </c>
      <c r="AL1" t="s">
        <v>1058</v>
      </c>
      <c r="AM1" t="s">
        <v>1059</v>
      </c>
    </row>
    <row r="2" spans="1:39">
      <c r="A2" s="90" t="s">
        <v>972</v>
      </c>
      <c r="B2" s="91">
        <f>$S2/(1+($AC$2-$O2+$P2)/36500)^$N2</f>
        <v>94362.463278665906</v>
      </c>
      <c r="C2" s="91">
        <f>$S2/(1+($AC$3-$O2+$P2)/36500)^$N2</f>
        <v>94464.836151474636</v>
      </c>
      <c r="D2" s="91">
        <f>$S2/(1+($AC$4-$O2+$P2)/36500)^$N2</f>
        <v>94592.96001911143</v>
      </c>
      <c r="E2" s="91">
        <f>$S2/(1+($AC$5-$O2+$P2)/36500)^$N2</f>
        <v>94721.259420508199</v>
      </c>
      <c r="F2" s="91">
        <f>$S2/(1+($AC$6-$O2+$P2)/36500)^$N2</f>
        <v>94849.73459856282</v>
      </c>
      <c r="G2" s="91">
        <f>$S2/(1+($AC$7-$O2+$P2)/36500)^$N2</f>
        <v>94978.385796506554</v>
      </c>
      <c r="H2" s="91">
        <f>$S2/(1+($AC$8-$O2+$P2)/36500)^$N2</f>
        <v>95107.213257916723</v>
      </c>
      <c r="I2" s="91">
        <f>$S2/(1+($AC$9-$O2+$P2)/36500)^$N2</f>
        <v>95236.217226706067</v>
      </c>
      <c r="J2" s="91">
        <f>$S2/(1+($AC$10-$O2+$P2)/36500)^$N2</f>
        <v>95365.397947130463</v>
      </c>
      <c r="K2" s="91">
        <f>$S2/(1+($AC$11-$O2+$P2)/36500)^$N2</f>
        <v>95494.755663790624</v>
      </c>
      <c r="L2" s="91">
        <f>$S2/(1+($AC$5-$O2+$P2)/36500)^$N2</f>
        <v>94721.259420508199</v>
      </c>
      <c r="M2" s="90" t="s">
        <v>1002</v>
      </c>
      <c r="N2" s="90">
        <f>132-$AD$19</f>
        <v>99</v>
      </c>
      <c r="O2" s="90">
        <v>0</v>
      </c>
      <c r="P2" s="90">
        <v>0</v>
      </c>
      <c r="Q2" s="90">
        <v>0</v>
      </c>
      <c r="R2" s="90">
        <f t="shared" ref="R2:R29" si="0">N2/30.5</f>
        <v>3.2459016393442623</v>
      </c>
      <c r="S2" s="91">
        <v>100000</v>
      </c>
      <c r="T2" s="91">
        <v>93600</v>
      </c>
      <c r="U2" s="91">
        <f>B2*(1+$AC$2/36500)^N2</f>
        <v>100000</v>
      </c>
      <c r="W2">
        <v>97</v>
      </c>
      <c r="X2">
        <v>1</v>
      </c>
      <c r="Y2">
        <f>$AF$2</f>
        <v>1185</v>
      </c>
      <c r="Z2" s="3">
        <f>Z1*(1+($AC$2+0.1875)/1200)</f>
        <v>87038.109374999985</v>
      </c>
      <c r="AA2" s="3">
        <f t="shared" ref="AA2:AA49" si="1">Y2+AA1*(1+$AC$2/1200)</f>
        <v>1185</v>
      </c>
      <c r="AB2" t="s">
        <v>61</v>
      </c>
      <c r="AC2">
        <v>21.4</v>
      </c>
      <c r="AD2">
        <v>14.22</v>
      </c>
      <c r="AE2" s="3">
        <v>100000</v>
      </c>
      <c r="AF2">
        <f>AE2*AD2/(100*12)</f>
        <v>1185</v>
      </c>
      <c r="AI2">
        <v>0.54</v>
      </c>
      <c r="AJ2" t="s">
        <v>1049</v>
      </c>
    </row>
    <row r="3" spans="1:39">
      <c r="A3" s="92" t="s">
        <v>973</v>
      </c>
      <c r="B3" s="93">
        <f t="shared" ref="B3:B29" si="2">$S3/(1+($AC$2-$O3+$P3)/36500)^$N3</f>
        <v>92446.382206260241</v>
      </c>
      <c r="C3" s="93">
        <f t="shared" ref="C3:C29" si="3">$S3/(1+($AC$3-$O3+$P3)/36500)^$N3</f>
        <v>92582.159892595446</v>
      </c>
      <c r="D3" s="93">
        <f t="shared" ref="D3:D29" si="4">$S3/(1+($AC$4-$O3+$P3)/36500)^$N3</f>
        <v>92752.164564682098</v>
      </c>
      <c r="E3" s="93">
        <f t="shared" ref="E3:E29" si="5">$S3/(1+($AC$5-$O3+$P3)/36500)^$N3</f>
        <v>92922.483743049743</v>
      </c>
      <c r="F3" s="93">
        <f t="shared" ref="F3:F29" si="6">$S3/(1+($AC$6-$O3+$P3)/36500)^$N3</f>
        <v>93093.118013852407</v>
      </c>
      <c r="G3" s="93">
        <f t="shared" ref="G3:G29" si="7">$S3/(1+($AC$7-$O3+$P3)/36500)^$N3</f>
        <v>93264.067964336413</v>
      </c>
      <c r="H3" s="93">
        <f t="shared" ref="H3:H29" si="8">$S3/(1+($AC$8-$O3+$P3)/36500)^$N3</f>
        <v>93435.334182858845</v>
      </c>
      <c r="I3" s="93">
        <f t="shared" ref="I3:I29" si="9">$S3/(1+($AC$9-$O3+$P3)/36500)^$N3</f>
        <v>93606.917258874921</v>
      </c>
      <c r="J3" s="93">
        <f t="shared" ref="J3:J29" si="10">$S3/(1+($AC$10-$O3+$P3)/36500)^$N3</f>
        <v>93778.817782949322</v>
      </c>
      <c r="K3" s="93">
        <f t="shared" ref="K3:K29" si="11">$S3/(1+($AC$11-$O3+$P3)/36500)^$N3</f>
        <v>93951.036346760433</v>
      </c>
      <c r="L3" s="93">
        <f t="shared" ref="L3:L29" si="12">$S3/(1+($AC$5-$O3+$P3)/36500)^$N3</f>
        <v>92922.483743049743</v>
      </c>
      <c r="M3" s="92" t="s">
        <v>1003</v>
      </c>
      <c r="N3" s="92">
        <f>167-$AD$19</f>
        <v>134</v>
      </c>
      <c r="O3" s="92">
        <v>0</v>
      </c>
      <c r="P3" s="92">
        <v>0</v>
      </c>
      <c r="Q3" s="92">
        <v>0</v>
      </c>
      <c r="R3" s="92">
        <f t="shared" si="0"/>
        <v>4.3934426229508201</v>
      </c>
      <c r="S3" s="93">
        <v>100000</v>
      </c>
      <c r="T3" s="93">
        <v>92000</v>
      </c>
      <c r="U3" s="93">
        <f t="shared" ref="U3:U29" si="13">B3*(1+$AC$2/36500)^N3</f>
        <v>100000</v>
      </c>
      <c r="W3">
        <v>97</v>
      </c>
      <c r="X3">
        <v>2</v>
      </c>
      <c r="Y3">
        <f t="shared" ref="Y3" si="14">$AF$2</f>
        <v>1185</v>
      </c>
      <c r="Z3" s="3">
        <f t="shared" ref="Z3:Z49" si="15">Z2*(1+($AC$2+0.1875)/1200)</f>
        <v>88603.888696777314</v>
      </c>
      <c r="AA3" s="3">
        <f t="shared" si="1"/>
        <v>2391.1324999999997</v>
      </c>
      <c r="AC3">
        <v>21</v>
      </c>
    </row>
    <row r="4" spans="1:39">
      <c r="A4" s="94" t="s">
        <v>974</v>
      </c>
      <c r="B4" s="95">
        <f t="shared" si="2"/>
        <v>90888.280667566447</v>
      </c>
      <c r="C4" s="95">
        <f t="shared" si="3"/>
        <v>91050.685208278781</v>
      </c>
      <c r="D4" s="95">
        <f t="shared" si="4"/>
        <v>91254.101539463314</v>
      </c>
      <c r="E4" s="95">
        <f t="shared" si="5"/>
        <v>91457.975117378155</v>
      </c>
      <c r="F4" s="95">
        <f t="shared" si="6"/>
        <v>91662.306976125343</v>
      </c>
      <c r="G4" s="95">
        <f t="shared" si="7"/>
        <v>91867.098152150065</v>
      </c>
      <c r="H4" s="95">
        <f t="shared" si="8"/>
        <v>92072.349684265544</v>
      </c>
      <c r="I4" s="95">
        <f t="shared" si="9"/>
        <v>92278.062613640985</v>
      </c>
      <c r="J4" s="95">
        <f t="shared" si="10"/>
        <v>92484.237983817962</v>
      </c>
      <c r="K4" s="95">
        <f t="shared" si="11"/>
        <v>92690.876840718367</v>
      </c>
      <c r="L4" s="95">
        <f t="shared" si="12"/>
        <v>91457.975117378155</v>
      </c>
      <c r="M4" s="94" t="s">
        <v>1004</v>
      </c>
      <c r="N4" s="94">
        <f>196-$AD$19</f>
        <v>163</v>
      </c>
      <c r="O4" s="94">
        <v>0</v>
      </c>
      <c r="P4" s="94">
        <v>0</v>
      </c>
      <c r="Q4" s="94">
        <v>0</v>
      </c>
      <c r="R4" s="94">
        <f t="shared" si="0"/>
        <v>5.3442622950819674</v>
      </c>
      <c r="S4" s="95">
        <v>100000</v>
      </c>
      <c r="T4" s="95">
        <v>90500</v>
      </c>
      <c r="U4" s="95">
        <f t="shared" si="13"/>
        <v>100000</v>
      </c>
      <c r="W4">
        <v>97</v>
      </c>
      <c r="X4">
        <v>3</v>
      </c>
      <c r="Y4">
        <f t="shared" ref="Y4:Y49" si="16">$AF$2</f>
        <v>1185</v>
      </c>
      <c r="Z4" s="3">
        <f t="shared" si="15"/>
        <v>90197.835736145367</v>
      </c>
      <c r="AA4" s="3">
        <f t="shared" si="1"/>
        <v>3618.7743629166666</v>
      </c>
      <c r="AC4">
        <v>20.5</v>
      </c>
    </row>
    <row r="5" spans="1:39">
      <c r="A5" s="90" t="s">
        <v>975</v>
      </c>
      <c r="B5" s="91">
        <f t="shared" si="2"/>
        <v>71682.639728955313</v>
      </c>
      <c r="C5" s="91">
        <f t="shared" si="3"/>
        <v>72129.970590028577</v>
      </c>
      <c r="D5" s="91">
        <f t="shared" si="4"/>
        <v>72693.068772752071</v>
      </c>
      <c r="E5" s="91">
        <f t="shared" si="5"/>
        <v>73260.570702792829</v>
      </c>
      <c r="F5" s="91">
        <f t="shared" si="6"/>
        <v>73832.510880967544</v>
      </c>
      <c r="G5" s="91">
        <f t="shared" si="7"/>
        <v>74408.924078837372</v>
      </c>
      <c r="H5" s="91">
        <f t="shared" si="8"/>
        <v>74989.845340891319</v>
      </c>
      <c r="I5" s="91">
        <f t="shared" si="9"/>
        <v>75575.30998664294</v>
      </c>
      <c r="J5" s="91">
        <f t="shared" si="10"/>
        <v>76165.353612823543</v>
      </c>
      <c r="K5" s="91">
        <f t="shared" si="11"/>
        <v>76760.012095569487</v>
      </c>
      <c r="L5" s="91">
        <f t="shared" si="12"/>
        <v>73260.570702792829</v>
      </c>
      <c r="M5" s="90" t="s">
        <v>1005</v>
      </c>
      <c r="N5" s="90">
        <f>601-$AD$19</f>
        <v>568</v>
      </c>
      <c r="O5" s="90">
        <v>0</v>
      </c>
      <c r="P5" s="90">
        <v>0</v>
      </c>
      <c r="Q5" s="90">
        <v>0</v>
      </c>
      <c r="R5" s="90">
        <f t="shared" si="0"/>
        <v>18.622950819672131</v>
      </c>
      <c r="S5" s="91">
        <v>100000</v>
      </c>
      <c r="T5" s="91">
        <v>73200</v>
      </c>
      <c r="U5" s="91">
        <f t="shared" si="13"/>
        <v>100000</v>
      </c>
      <c r="W5">
        <v>97</v>
      </c>
      <c r="X5">
        <v>4</v>
      </c>
      <c r="Y5">
        <f t="shared" si="16"/>
        <v>1185</v>
      </c>
      <c r="Z5" s="3">
        <f t="shared" si="15"/>
        <v>91820.457218607058</v>
      </c>
      <c r="AA5" s="3">
        <f t="shared" si="1"/>
        <v>4868.309172388681</v>
      </c>
      <c r="AB5" t="s">
        <v>956</v>
      </c>
      <c r="AC5">
        <v>20</v>
      </c>
    </row>
    <row r="6" spans="1:39">
      <c r="A6" s="92" t="s">
        <v>976</v>
      </c>
      <c r="B6" s="93">
        <f t="shared" si="2"/>
        <v>86928.437316182462</v>
      </c>
      <c r="C6" s="93">
        <f t="shared" si="3"/>
        <v>87156.284291126969</v>
      </c>
      <c r="D6" s="93">
        <f t="shared" si="4"/>
        <v>87441.936540520313</v>
      </c>
      <c r="E6" s="93">
        <f t="shared" si="5"/>
        <v>87728.528937170136</v>
      </c>
      <c r="F6" s="93">
        <f t="shared" si="6"/>
        <v>88016.064588259047</v>
      </c>
      <c r="G6" s="93">
        <f t="shared" si="7"/>
        <v>88304.546611267957</v>
      </c>
      <c r="H6" s="93">
        <f t="shared" si="8"/>
        <v>88593.978134037796</v>
      </c>
      <c r="I6" s="93">
        <f t="shared" si="9"/>
        <v>88884.362294779348</v>
      </c>
      <c r="J6" s="93">
        <f t="shared" si="10"/>
        <v>89175.702242123545</v>
      </c>
      <c r="K6" s="93">
        <f t="shared" si="11"/>
        <v>89468.001135159458</v>
      </c>
      <c r="L6" s="93">
        <f t="shared" si="12"/>
        <v>87728.528937170136</v>
      </c>
      <c r="M6" s="92" t="s">
        <v>1006</v>
      </c>
      <c r="N6" s="92">
        <f>272-$AD$19</f>
        <v>239</v>
      </c>
      <c r="O6" s="92">
        <v>0</v>
      </c>
      <c r="P6" s="92">
        <v>0</v>
      </c>
      <c r="Q6" s="92">
        <v>0</v>
      </c>
      <c r="R6" s="92">
        <f t="shared" si="0"/>
        <v>7.8360655737704921</v>
      </c>
      <c r="S6" s="93">
        <v>100000</v>
      </c>
      <c r="T6" s="93">
        <v>87200</v>
      </c>
      <c r="U6" s="93">
        <f t="shared" si="13"/>
        <v>100000</v>
      </c>
      <c r="W6">
        <v>97</v>
      </c>
      <c r="X6">
        <v>5</v>
      </c>
      <c r="Y6">
        <f t="shared" si="16"/>
        <v>1185</v>
      </c>
      <c r="Z6" s="3">
        <f t="shared" si="15"/>
        <v>93472.268985445946</v>
      </c>
      <c r="AA6" s="3">
        <f t="shared" si="1"/>
        <v>6140.1273526296127</v>
      </c>
      <c r="AC6">
        <v>19.5</v>
      </c>
    </row>
    <row r="7" spans="1:39">
      <c r="A7" s="94" t="s">
        <v>977</v>
      </c>
      <c r="B7" s="95">
        <f t="shared" si="2"/>
        <v>72868.775111391267</v>
      </c>
      <c r="C7" s="95">
        <f t="shared" si="3"/>
        <v>73301.025213205008</v>
      </c>
      <c r="D7" s="95">
        <f t="shared" si="4"/>
        <v>73844.9520617456</v>
      </c>
      <c r="E7" s="95">
        <f t="shared" si="5"/>
        <v>74392.922624109939</v>
      </c>
      <c r="F7" s="95">
        <f t="shared" si="6"/>
        <v>74944.96701846215</v>
      </c>
      <c r="G7" s="95">
        <f t="shared" si="7"/>
        <v>75501.11558768127</v>
      </c>
      <c r="H7" s="95">
        <f t="shared" si="8"/>
        <v>76061.398901094144</v>
      </c>
      <c r="I7" s="95">
        <f t="shared" si="9"/>
        <v>76625.84775612074</v>
      </c>
      <c r="J7" s="95">
        <f t="shared" si="10"/>
        <v>77194.493180009245</v>
      </c>
      <c r="K7" s="95">
        <f t="shared" si="11"/>
        <v>77767.366431561823</v>
      </c>
      <c r="L7" s="95">
        <f t="shared" si="12"/>
        <v>74392.922624109939</v>
      </c>
      <c r="M7" s="94" t="s">
        <v>1007</v>
      </c>
      <c r="N7" s="94">
        <f>573-$AD$19</f>
        <v>540</v>
      </c>
      <c r="O7" s="94">
        <v>0</v>
      </c>
      <c r="P7" s="94">
        <v>0</v>
      </c>
      <c r="Q7" s="94">
        <v>0</v>
      </c>
      <c r="R7" s="94">
        <f t="shared" si="0"/>
        <v>17.704918032786885</v>
      </c>
      <c r="S7" s="95">
        <v>100000</v>
      </c>
      <c r="T7" s="95">
        <v>73600</v>
      </c>
      <c r="U7" s="95">
        <f t="shared" si="13"/>
        <v>100000.00000000001</v>
      </c>
      <c r="W7">
        <v>97</v>
      </c>
      <c r="X7">
        <v>6</v>
      </c>
      <c r="Y7">
        <f t="shared" si="16"/>
        <v>1185</v>
      </c>
      <c r="Z7" s="3">
        <f t="shared" si="15"/>
        <v>95153.796157715362</v>
      </c>
      <c r="AA7" s="3">
        <f t="shared" si="1"/>
        <v>7434.626290418174</v>
      </c>
      <c r="AC7">
        <v>19</v>
      </c>
    </row>
    <row r="8" spans="1:39">
      <c r="A8" s="90" t="s">
        <v>978</v>
      </c>
      <c r="B8" s="91">
        <f t="shared" si="2"/>
        <v>86218.037430154392</v>
      </c>
      <c r="C8" s="91">
        <f t="shared" si="3"/>
        <v>86457.278347419735</v>
      </c>
      <c r="D8" s="91">
        <f t="shared" si="4"/>
        <v>86757.266957648637</v>
      </c>
      <c r="E8" s="91">
        <f t="shared" si="5"/>
        <v>87058.30059393734</v>
      </c>
      <c r="F8" s="91">
        <f t="shared" si="6"/>
        <v>87360.382911078224</v>
      </c>
      <c r="G8" s="91">
        <f t="shared" si="7"/>
        <v>87663.517576681508</v>
      </c>
      <c r="H8" s="91">
        <f t="shared" si="8"/>
        <v>87967.708271249241</v>
      </c>
      <c r="I8" s="91">
        <f t="shared" si="9"/>
        <v>88272.958688195038</v>
      </c>
      <c r="J8" s="91">
        <f t="shared" si="10"/>
        <v>88579.272533905634</v>
      </c>
      <c r="K8" s="91">
        <f t="shared" si="11"/>
        <v>88886.653527790739</v>
      </c>
      <c r="L8" s="91">
        <f t="shared" si="12"/>
        <v>87058.30059393734</v>
      </c>
      <c r="M8" s="90" t="s">
        <v>1009</v>
      </c>
      <c r="N8" s="90">
        <f>286-$AD$19</f>
        <v>253</v>
      </c>
      <c r="O8" s="90">
        <v>0</v>
      </c>
      <c r="P8" s="90">
        <v>0</v>
      </c>
      <c r="Q8" s="90">
        <v>0</v>
      </c>
      <c r="R8" s="90">
        <f t="shared" si="0"/>
        <v>8.2950819672131146</v>
      </c>
      <c r="S8" s="91">
        <v>100000</v>
      </c>
      <c r="T8" s="91">
        <v>86700</v>
      </c>
      <c r="U8" s="91">
        <f t="shared" si="13"/>
        <v>100000</v>
      </c>
      <c r="W8">
        <v>97</v>
      </c>
      <c r="X8">
        <v>7</v>
      </c>
      <c r="Y8">
        <f t="shared" si="16"/>
        <v>1185</v>
      </c>
      <c r="Z8" s="3">
        <f t="shared" si="15"/>
        <v>96865.573303177589</v>
      </c>
      <c r="AA8" s="3">
        <f t="shared" si="1"/>
        <v>8752.2104592639662</v>
      </c>
      <c r="AC8">
        <v>18.5</v>
      </c>
    </row>
    <row r="9" spans="1:39">
      <c r="A9" s="92" t="s">
        <v>994</v>
      </c>
      <c r="B9" s="93">
        <f t="shared" si="2"/>
        <v>77448.848321935977</v>
      </c>
      <c r="C9" s="93">
        <f t="shared" si="3"/>
        <v>77819.574934950142</v>
      </c>
      <c r="D9" s="93">
        <f t="shared" si="4"/>
        <v>78285.485439461452</v>
      </c>
      <c r="E9" s="93">
        <f t="shared" si="5"/>
        <v>78754.191814511563</v>
      </c>
      <c r="F9" s="93">
        <f t="shared" si="6"/>
        <v>79225.710876403493</v>
      </c>
      <c r="G9" s="93">
        <f t="shared" si="7"/>
        <v>79700.059542794887</v>
      </c>
      <c r="H9" s="93">
        <f t="shared" si="8"/>
        <v>80177.254833355502</v>
      </c>
      <c r="I9" s="93">
        <f t="shared" si="9"/>
        <v>80657.313870343292</v>
      </c>
      <c r="J9" s="93">
        <f t="shared" si="10"/>
        <v>81140.253879249634</v>
      </c>
      <c r="K9" s="93">
        <f t="shared" si="11"/>
        <v>81626.092189429197</v>
      </c>
      <c r="L9" s="93">
        <f t="shared" si="12"/>
        <v>78754.191814511563</v>
      </c>
      <c r="M9" s="92" t="s">
        <v>1008</v>
      </c>
      <c r="N9" s="92">
        <f>469-$AD$19</f>
        <v>436</v>
      </c>
      <c r="O9" s="92">
        <v>0</v>
      </c>
      <c r="P9" s="92">
        <v>0</v>
      </c>
      <c r="Q9" s="92">
        <v>0</v>
      </c>
      <c r="R9" s="92">
        <f t="shared" si="0"/>
        <v>14.295081967213115</v>
      </c>
      <c r="S9" s="93">
        <v>100000</v>
      </c>
      <c r="T9" s="93">
        <v>78300</v>
      </c>
      <c r="U9" s="93">
        <f t="shared" si="13"/>
        <v>100000</v>
      </c>
      <c r="W9">
        <v>97</v>
      </c>
      <c r="X9">
        <v>8</v>
      </c>
      <c r="Y9">
        <f t="shared" si="16"/>
        <v>1185</v>
      </c>
      <c r="Z9" s="3">
        <f t="shared" si="15"/>
        <v>98608.144606246206</v>
      </c>
      <c r="AA9" s="3">
        <f t="shared" si="1"/>
        <v>10093.291545787508</v>
      </c>
      <c r="AC9">
        <v>18</v>
      </c>
    </row>
    <row r="10" spans="1:39">
      <c r="A10" s="94" t="s">
        <v>995</v>
      </c>
      <c r="B10" s="95">
        <f t="shared" si="2"/>
        <v>77448.848321935977</v>
      </c>
      <c r="C10" s="95">
        <f t="shared" si="3"/>
        <v>77819.574934950142</v>
      </c>
      <c r="D10" s="95">
        <f t="shared" si="4"/>
        <v>78285.485439461452</v>
      </c>
      <c r="E10" s="95">
        <f t="shared" si="5"/>
        <v>78754.191814511563</v>
      </c>
      <c r="F10" s="95">
        <f t="shared" si="6"/>
        <v>79225.710876403493</v>
      </c>
      <c r="G10" s="95">
        <f t="shared" si="7"/>
        <v>79700.059542794887</v>
      </c>
      <c r="H10" s="95">
        <f t="shared" si="8"/>
        <v>80177.254833355502</v>
      </c>
      <c r="I10" s="95">
        <f t="shared" si="9"/>
        <v>80657.313870343292</v>
      </c>
      <c r="J10" s="95">
        <f t="shared" si="10"/>
        <v>81140.253879249634</v>
      </c>
      <c r="K10" s="95">
        <f t="shared" si="11"/>
        <v>81626.092189429197</v>
      </c>
      <c r="L10" s="95">
        <f t="shared" si="12"/>
        <v>78754.191814511563</v>
      </c>
      <c r="M10" s="94" t="s">
        <v>1008</v>
      </c>
      <c r="N10" s="94">
        <f>469-$AD$19</f>
        <v>436</v>
      </c>
      <c r="O10" s="94">
        <v>0</v>
      </c>
      <c r="P10" s="94">
        <v>0</v>
      </c>
      <c r="Q10" s="94">
        <v>0</v>
      </c>
      <c r="R10" s="94">
        <f t="shared" si="0"/>
        <v>14.295081967213115</v>
      </c>
      <c r="S10" s="95">
        <v>100000</v>
      </c>
      <c r="T10" s="95">
        <v>77700</v>
      </c>
      <c r="U10" s="95">
        <f t="shared" si="13"/>
        <v>100000</v>
      </c>
      <c r="W10">
        <v>97</v>
      </c>
      <c r="X10">
        <v>9</v>
      </c>
      <c r="Y10">
        <f t="shared" si="16"/>
        <v>1185</v>
      </c>
      <c r="Z10" s="3">
        <f t="shared" si="15"/>
        <v>100382.06404098564</v>
      </c>
      <c r="AA10" s="3">
        <f t="shared" si="1"/>
        <v>11458.288578354051</v>
      </c>
      <c r="AC10">
        <v>17.5</v>
      </c>
      <c r="AF10" s="26"/>
    </row>
    <row r="11" spans="1:39">
      <c r="A11" s="90" t="s">
        <v>996</v>
      </c>
      <c r="B11" s="91">
        <f t="shared" si="2"/>
        <v>70805.726043837101</v>
      </c>
      <c r="C11" s="91">
        <f t="shared" si="3"/>
        <v>71263.97365302821</v>
      </c>
      <c r="D11" s="91">
        <f t="shared" si="4"/>
        <v>71840.96311112908</v>
      </c>
      <c r="E11" s="91">
        <f t="shared" si="5"/>
        <v>72422.632165694857</v>
      </c>
      <c r="F11" s="91">
        <f t="shared" si="6"/>
        <v>73009.018834835137</v>
      </c>
      <c r="G11" s="91">
        <f t="shared" si="7"/>
        <v>73600.16144602593</v>
      </c>
      <c r="H11" s="91">
        <f t="shared" si="8"/>
        <v>74196.098638687967</v>
      </c>
      <c r="I11" s="91">
        <f t="shared" si="9"/>
        <v>74796.869366679166</v>
      </c>
      <c r="J11" s="91">
        <f t="shared" si="10"/>
        <v>75402.51290088972</v>
      </c>
      <c r="K11" s="91">
        <f t="shared" si="11"/>
        <v>76013.068831834433</v>
      </c>
      <c r="L11" s="91">
        <f t="shared" si="12"/>
        <v>72422.632165694857</v>
      </c>
      <c r="M11" s="90" t="s">
        <v>1012</v>
      </c>
      <c r="N11" s="90">
        <f>622-$AD$19</f>
        <v>589</v>
      </c>
      <c r="O11" s="90">
        <v>0</v>
      </c>
      <c r="P11" s="90">
        <v>0</v>
      </c>
      <c r="Q11" s="90">
        <v>0</v>
      </c>
      <c r="R11" s="90">
        <f t="shared" si="0"/>
        <v>19.311475409836067</v>
      </c>
      <c r="S11" s="91">
        <v>100000</v>
      </c>
      <c r="T11" s="91">
        <v>71800</v>
      </c>
      <c r="U11" s="91">
        <f t="shared" si="13"/>
        <v>100000</v>
      </c>
      <c r="W11">
        <v>97</v>
      </c>
      <c r="X11">
        <v>10</v>
      </c>
      <c r="Y11">
        <f t="shared" si="16"/>
        <v>1185</v>
      </c>
      <c r="Z11" s="3">
        <f t="shared" si="15"/>
        <v>102187.89554722294</v>
      </c>
      <c r="AA11" s="3">
        <f t="shared" si="1"/>
        <v>12847.628058001366</v>
      </c>
      <c r="AC11">
        <v>17</v>
      </c>
      <c r="AF11" s="26"/>
    </row>
    <row r="12" spans="1:39">
      <c r="A12" s="92" t="s">
        <v>997</v>
      </c>
      <c r="B12" s="93">
        <f>$S12/(1+($AC$2-$O12+$P12)/36500)^$N12</f>
        <v>87593.334502520025</v>
      </c>
      <c r="C12" s="93">
        <f>$S12/(1+($AC$3-$O12+$P12)/36500)^$N12</f>
        <v>87810.420624656253</v>
      </c>
      <c r="D12" s="93">
        <f t="shared" si="4"/>
        <v>88082.538372924784</v>
      </c>
      <c r="E12" s="93">
        <f t="shared" si="5"/>
        <v>88355.50313609236</v>
      </c>
      <c r="F12" s="93">
        <f t="shared" si="6"/>
        <v>88629.317562300479</v>
      </c>
      <c r="G12" s="93">
        <f t="shared" si="7"/>
        <v>88903.984307993349</v>
      </c>
      <c r="H12" s="93">
        <f t="shared" si="8"/>
        <v>89179.506037969957</v>
      </c>
      <c r="I12" s="93">
        <f t="shared" si="9"/>
        <v>89455.885425387285</v>
      </c>
      <c r="J12" s="93">
        <f t="shared" si="10"/>
        <v>89733.1251518012</v>
      </c>
      <c r="K12" s="93">
        <f t="shared" si="11"/>
        <v>90011.22790719656</v>
      </c>
      <c r="L12" s="93">
        <f t="shared" si="12"/>
        <v>88355.50313609236</v>
      </c>
      <c r="M12" s="92" t="s">
        <v>1013</v>
      </c>
      <c r="N12" s="92">
        <f>259-$AD$19</f>
        <v>226</v>
      </c>
      <c r="O12" s="92">
        <v>0</v>
      </c>
      <c r="P12" s="92">
        <v>0</v>
      </c>
      <c r="Q12" s="92">
        <v>0</v>
      </c>
      <c r="R12" s="92">
        <f t="shared" si="0"/>
        <v>7.4098360655737707</v>
      </c>
      <c r="S12" s="93">
        <v>100000</v>
      </c>
      <c r="T12" s="93">
        <v>86600</v>
      </c>
      <c r="U12" s="93">
        <f t="shared" si="13"/>
        <v>100000</v>
      </c>
      <c r="W12">
        <v>97</v>
      </c>
      <c r="X12">
        <v>11</v>
      </c>
      <c r="Y12">
        <f t="shared" si="16"/>
        <v>1185</v>
      </c>
      <c r="Z12" s="3">
        <f t="shared" si="15"/>
        <v>104026.21320982766</v>
      </c>
      <c r="AA12" s="3">
        <f t="shared" si="1"/>
        <v>14261.744091702391</v>
      </c>
      <c r="AF12" s="26"/>
    </row>
    <row r="13" spans="1:39">
      <c r="A13" s="94" t="s">
        <v>998</v>
      </c>
      <c r="B13" s="95">
        <f t="shared" si="2"/>
        <v>68238.826837714019</v>
      </c>
      <c r="C13" s="95">
        <f t="shared" si="3"/>
        <v>68727.868302608302</v>
      </c>
      <c r="D13" s="95">
        <f t="shared" si="4"/>
        <v>69344.109286390303</v>
      </c>
      <c r="E13" s="95">
        <f t="shared" si="5"/>
        <v>69965.884278846643</v>
      </c>
      <c r="F13" s="95">
        <f t="shared" si="6"/>
        <v>70593.243053657512</v>
      </c>
      <c r="G13" s="95">
        <f t="shared" si="7"/>
        <v>71226.235832835271</v>
      </c>
      <c r="H13" s="95">
        <f t="shared" si="8"/>
        <v>71864.913290829631</v>
      </c>
      <c r="I13" s="95">
        <f t="shared" si="9"/>
        <v>72509.326558555345</v>
      </c>
      <c r="J13" s="95">
        <f t="shared" si="10"/>
        <v>73159.527227544575</v>
      </c>
      <c r="K13" s="95">
        <f t="shared" si="11"/>
        <v>73815.567354111161</v>
      </c>
      <c r="L13" s="95">
        <f t="shared" si="12"/>
        <v>69965.884278846643</v>
      </c>
      <c r="M13" s="94" t="s">
        <v>1014</v>
      </c>
      <c r="N13" s="94">
        <f>685-$AD$19</f>
        <v>652</v>
      </c>
      <c r="O13" s="94">
        <v>0</v>
      </c>
      <c r="P13" s="94">
        <v>0</v>
      </c>
      <c r="Q13" s="94">
        <v>0</v>
      </c>
      <c r="R13" s="94">
        <f t="shared" si="0"/>
        <v>21.377049180327869</v>
      </c>
      <c r="S13" s="95">
        <v>100000</v>
      </c>
      <c r="T13" s="95">
        <v>70000</v>
      </c>
      <c r="U13" s="95">
        <f t="shared" si="13"/>
        <v>100000</v>
      </c>
      <c r="W13">
        <v>97</v>
      </c>
      <c r="X13">
        <v>12</v>
      </c>
      <c r="Y13">
        <f t="shared" si="16"/>
        <v>1185</v>
      </c>
      <c r="Z13" s="3">
        <f t="shared" si="15"/>
        <v>105897.60144121695</v>
      </c>
      <c r="AA13" s="3">
        <f t="shared" si="1"/>
        <v>15701.078528004417</v>
      </c>
      <c r="AF13" s="26"/>
    </row>
    <row r="14" spans="1:39">
      <c r="A14" s="90" t="s">
        <v>999</v>
      </c>
      <c r="B14" s="91">
        <f t="shared" si="2"/>
        <v>69367.977316465636</v>
      </c>
      <c r="C14" s="91">
        <f t="shared" si="3"/>
        <v>69843.688637185798</v>
      </c>
      <c r="D14" s="91">
        <f t="shared" si="4"/>
        <v>70442.92547376077</v>
      </c>
      <c r="E14" s="91">
        <f t="shared" si="5"/>
        <v>71047.311883488321</v>
      </c>
      <c r="F14" s="91">
        <f t="shared" si="6"/>
        <v>71656.892190923027</v>
      </c>
      <c r="G14" s="91">
        <f t="shared" si="7"/>
        <v>72271.711102725123</v>
      </c>
      <c r="H14" s="91">
        <f t="shared" si="8"/>
        <v>72891.813711018433</v>
      </c>
      <c r="I14" s="91">
        <f t="shared" si="9"/>
        <v>73517.245496666525</v>
      </c>
      <c r="J14" s="91">
        <f t="shared" si="10"/>
        <v>74148.052332662599</v>
      </c>
      <c r="K14" s="91">
        <f t="shared" si="11"/>
        <v>74784.280487523909</v>
      </c>
      <c r="L14" s="91">
        <f t="shared" si="12"/>
        <v>71047.311883488321</v>
      </c>
      <c r="M14" s="90" t="s">
        <v>1015</v>
      </c>
      <c r="N14" s="90">
        <f>657-$AD$19</f>
        <v>624</v>
      </c>
      <c r="O14" s="90">
        <v>0</v>
      </c>
      <c r="P14" s="90">
        <v>0</v>
      </c>
      <c r="Q14" s="90">
        <v>0</v>
      </c>
      <c r="R14" s="90">
        <f t="shared" si="0"/>
        <v>20.459016393442624</v>
      </c>
      <c r="S14" s="91">
        <v>100000</v>
      </c>
      <c r="T14" s="91">
        <v>70700</v>
      </c>
      <c r="U14" s="91">
        <f t="shared" si="13"/>
        <v>100000</v>
      </c>
      <c r="W14">
        <v>98</v>
      </c>
      <c r="X14">
        <v>1</v>
      </c>
      <c r="Y14">
        <f t="shared" si="16"/>
        <v>1185</v>
      </c>
      <c r="Z14" s="3">
        <f t="shared" si="15"/>
        <v>107802.65516714382</v>
      </c>
      <c r="AA14" s="3">
        <f t="shared" si="1"/>
        <v>17166.08109508716</v>
      </c>
      <c r="AF14" s="26"/>
    </row>
    <row r="15" spans="1:39">
      <c r="A15" s="92" t="s">
        <v>1000</v>
      </c>
      <c r="B15" s="93">
        <f t="shared" si="2"/>
        <v>69367.977316465636</v>
      </c>
      <c r="C15" s="93">
        <f t="shared" si="3"/>
        <v>69843.688637185798</v>
      </c>
      <c r="D15" s="93">
        <f t="shared" si="4"/>
        <v>70442.92547376077</v>
      </c>
      <c r="E15" s="93">
        <f t="shared" si="5"/>
        <v>71047.311883488321</v>
      </c>
      <c r="F15" s="93">
        <f t="shared" si="6"/>
        <v>71656.892190923027</v>
      </c>
      <c r="G15" s="93">
        <f t="shared" si="7"/>
        <v>72271.711102725123</v>
      </c>
      <c r="H15" s="93">
        <f t="shared" si="8"/>
        <v>72891.813711018433</v>
      </c>
      <c r="I15" s="93">
        <f t="shared" si="9"/>
        <v>73517.245496666525</v>
      </c>
      <c r="J15" s="93">
        <f t="shared" si="10"/>
        <v>74148.052332662599</v>
      </c>
      <c r="K15" s="93">
        <f t="shared" si="11"/>
        <v>74784.280487523909</v>
      </c>
      <c r="L15" s="93">
        <f t="shared" si="12"/>
        <v>71047.311883488321</v>
      </c>
      <c r="M15" s="92" t="s">
        <v>1015</v>
      </c>
      <c r="N15" s="92">
        <f>657-$AD$19</f>
        <v>624</v>
      </c>
      <c r="O15" s="92">
        <v>0</v>
      </c>
      <c r="P15" s="92">
        <v>0</v>
      </c>
      <c r="Q15" s="92">
        <v>0</v>
      </c>
      <c r="R15" s="92">
        <f t="shared" si="0"/>
        <v>20.459016393442624</v>
      </c>
      <c r="S15" s="93">
        <v>100000</v>
      </c>
      <c r="T15" s="93">
        <v>71000</v>
      </c>
      <c r="U15" s="93">
        <f t="shared" si="13"/>
        <v>100000</v>
      </c>
      <c r="W15">
        <v>98</v>
      </c>
      <c r="X15">
        <v>2</v>
      </c>
      <c r="Y15">
        <f t="shared" si="16"/>
        <v>1185</v>
      </c>
      <c r="Z15" s="3">
        <f t="shared" si="15"/>
        <v>109741.98001582774</v>
      </c>
      <c r="AA15" s="3">
        <f t="shared" si="1"/>
        <v>18657.209541282882</v>
      </c>
      <c r="AC15" s="85">
        <f>AE2*((1+$AC$2/36500)^365)</f>
        <v>123854.4983528483</v>
      </c>
      <c r="AD15">
        <v>21.4</v>
      </c>
      <c r="AF15" s="26"/>
    </row>
    <row r="16" spans="1:39">
      <c r="A16" s="94" t="s">
        <v>1001</v>
      </c>
      <c r="B16" s="95">
        <f t="shared" si="2"/>
        <v>71682.639728955313</v>
      </c>
      <c r="C16" s="95">
        <f t="shared" si="3"/>
        <v>72129.970590028577</v>
      </c>
      <c r="D16" s="95">
        <f t="shared" si="4"/>
        <v>72693.068772752071</v>
      </c>
      <c r="E16" s="95">
        <f t="shared" si="5"/>
        <v>73260.570702792829</v>
      </c>
      <c r="F16" s="95">
        <f t="shared" si="6"/>
        <v>73832.510880967544</v>
      </c>
      <c r="G16" s="95">
        <f t="shared" si="7"/>
        <v>74408.924078837372</v>
      </c>
      <c r="H16" s="95">
        <f t="shared" si="8"/>
        <v>74989.845340891319</v>
      </c>
      <c r="I16" s="95">
        <f t="shared" si="9"/>
        <v>75575.30998664294</v>
      </c>
      <c r="J16" s="95">
        <f t="shared" si="10"/>
        <v>76165.353612823543</v>
      </c>
      <c r="K16" s="95">
        <f t="shared" si="11"/>
        <v>76760.012095569487</v>
      </c>
      <c r="L16" s="95">
        <f t="shared" si="12"/>
        <v>73260.570702792829</v>
      </c>
      <c r="M16" s="94" t="s">
        <v>1005</v>
      </c>
      <c r="N16" s="94">
        <f>601-$AD$19</f>
        <v>568</v>
      </c>
      <c r="O16" s="94">
        <v>0</v>
      </c>
      <c r="P16" s="94">
        <v>0</v>
      </c>
      <c r="Q16" s="94">
        <v>0</v>
      </c>
      <c r="R16" s="94">
        <f t="shared" si="0"/>
        <v>18.622950819672131</v>
      </c>
      <c r="S16" s="95">
        <v>100000</v>
      </c>
      <c r="T16" s="95">
        <v>73100</v>
      </c>
      <c r="U16" s="95">
        <f t="shared" si="13"/>
        <v>100000</v>
      </c>
      <c r="W16">
        <v>98</v>
      </c>
      <c r="X16">
        <v>3</v>
      </c>
      <c r="Y16">
        <f t="shared" si="16"/>
        <v>1185</v>
      </c>
      <c r="Z16" s="3">
        <f t="shared" si="15"/>
        <v>111716.19251048745</v>
      </c>
      <c r="AA16" s="3">
        <f t="shared" si="1"/>
        <v>20174.929778102429</v>
      </c>
      <c r="AF16" s="26"/>
    </row>
    <row r="17" spans="1:32">
      <c r="A17" s="90" t="s">
        <v>1019</v>
      </c>
      <c r="B17" s="91">
        <f t="shared" si="2"/>
        <v>83144.125537455693</v>
      </c>
      <c r="C17" s="91">
        <f t="shared" si="3"/>
        <v>84396.130925607824</v>
      </c>
      <c r="D17" s="91">
        <f t="shared" si="4"/>
        <v>85987.702692650229</v>
      </c>
      <c r="E17" s="91">
        <f t="shared" si="5"/>
        <v>87609.311296325846</v>
      </c>
      <c r="F17" s="91">
        <f t="shared" si="6"/>
        <v>89261.52402797727</v>
      </c>
      <c r="G17" s="91">
        <f t="shared" si="7"/>
        <v>90944.918901188983</v>
      </c>
      <c r="H17" s="91">
        <f t="shared" si="8"/>
        <v>92660.084854520086</v>
      </c>
      <c r="I17" s="91">
        <f t="shared" si="9"/>
        <v>94407.621957993266</v>
      </c>
      <c r="J17" s="91">
        <f t="shared" si="10"/>
        <v>96188.141623986332</v>
      </c>
      <c r="K17" s="91">
        <f t="shared" si="11"/>
        <v>98002.266821423385</v>
      </c>
      <c r="L17" s="91">
        <f t="shared" si="12"/>
        <v>87609.311296325846</v>
      </c>
      <c r="M17" s="90" t="s">
        <v>1020</v>
      </c>
      <c r="N17" s="90">
        <f>1397-$AD$19</f>
        <v>1364</v>
      </c>
      <c r="O17" s="90">
        <v>17</v>
      </c>
      <c r="P17" s="90">
        <f>$AI$2</f>
        <v>0.54</v>
      </c>
      <c r="Q17" s="90">
        <v>6</v>
      </c>
      <c r="R17" s="90">
        <f t="shared" si="0"/>
        <v>44.721311475409834</v>
      </c>
      <c r="S17" s="91">
        <v>100000</v>
      </c>
      <c r="T17" s="91">
        <v>96000</v>
      </c>
      <c r="U17" s="91">
        <f t="shared" si="13"/>
        <v>184944.59194745118</v>
      </c>
      <c r="W17">
        <v>98</v>
      </c>
      <c r="X17">
        <v>4</v>
      </c>
      <c r="Y17">
        <f t="shared" si="16"/>
        <v>1185</v>
      </c>
      <c r="Z17" s="3">
        <f t="shared" si="15"/>
        <v>113725.92026533757</v>
      </c>
      <c r="AA17" s="3">
        <f t="shared" si="1"/>
        <v>21719.716025811922</v>
      </c>
      <c r="AF17" s="26"/>
    </row>
    <row r="18" spans="1:32">
      <c r="A18" s="92" t="s">
        <v>967</v>
      </c>
      <c r="B18" s="93">
        <f>$S18/(1+($AC$2-$O18+$P18)/36500)^$N18</f>
        <v>98677.699925191104</v>
      </c>
      <c r="C18" s="93">
        <f t="shared" si="3"/>
        <v>99253.585718682341</v>
      </c>
      <c r="D18" s="93">
        <f>$S18/(1+($AC$4-$O18+$P18)/36500)^$N18</f>
        <v>99978.18046748481</v>
      </c>
      <c r="E18" s="93">
        <f t="shared" si="5"/>
        <v>100708.0751109416</v>
      </c>
      <c r="F18" s="93">
        <f t="shared" si="6"/>
        <v>101443.30848741802</v>
      </c>
      <c r="G18" s="93">
        <f t="shared" si="7"/>
        <v>102183.91972041607</v>
      </c>
      <c r="H18" s="93">
        <f t="shared" si="8"/>
        <v>102929.948220698</v>
      </c>
      <c r="I18" s="93">
        <f t="shared" si="9"/>
        <v>103681.43368836466</v>
      </c>
      <c r="J18" s="93">
        <f t="shared" si="10"/>
        <v>104438.41611503526</v>
      </c>
      <c r="K18" s="93">
        <f t="shared" si="11"/>
        <v>105200.93578594872</v>
      </c>
      <c r="L18" s="93">
        <f t="shared" si="12"/>
        <v>100708.0751109416</v>
      </c>
      <c r="M18" s="92" t="s">
        <v>986</v>
      </c>
      <c r="N18" s="92">
        <f>564-$AD$19</f>
        <v>531</v>
      </c>
      <c r="O18" s="92">
        <v>21</v>
      </c>
      <c r="P18" s="92">
        <f t="shared" ref="P18:P23" si="17">$AI$1</f>
        <v>0.51500000000000001</v>
      </c>
      <c r="Q18" s="92">
        <v>3</v>
      </c>
      <c r="R18" s="92">
        <f t="shared" si="0"/>
        <v>17.409836065573771</v>
      </c>
      <c r="S18" s="93">
        <v>100000</v>
      </c>
      <c r="T18" s="93">
        <v>100000</v>
      </c>
      <c r="U18" s="93">
        <f t="shared" si="13"/>
        <v>134705.88613741694</v>
      </c>
      <c r="W18">
        <v>98</v>
      </c>
      <c r="X18">
        <v>5</v>
      </c>
      <c r="Y18">
        <f t="shared" si="16"/>
        <v>1185</v>
      </c>
      <c r="Z18" s="3">
        <f t="shared" si="15"/>
        <v>115771.80218511086</v>
      </c>
      <c r="AA18" s="3">
        <f t="shared" si="1"/>
        <v>23292.050961605568</v>
      </c>
      <c r="AC18" t="s">
        <v>1017</v>
      </c>
      <c r="AD18" t="s">
        <v>1056</v>
      </c>
      <c r="AF18" s="26"/>
    </row>
    <row r="19" spans="1:32">
      <c r="A19" s="94" t="s">
        <v>968</v>
      </c>
      <c r="B19" s="95">
        <f t="shared" si="2"/>
        <v>91502.962932657189</v>
      </c>
      <c r="C19" s="95">
        <f t="shared" si="3"/>
        <v>92054.04892164249</v>
      </c>
      <c r="D19" s="95">
        <f t="shared" si="4"/>
        <v>92747.584633219041</v>
      </c>
      <c r="E19" s="95">
        <f t="shared" si="5"/>
        <v>93446.355053459964</v>
      </c>
      <c r="F19" s="95">
        <f t="shared" si="6"/>
        <v>94150.399765685186</v>
      </c>
      <c r="G19" s="95">
        <f t="shared" si="7"/>
        <v>94859.758653130586</v>
      </c>
      <c r="H19" s="95">
        <f t="shared" si="8"/>
        <v>95574.471901132536</v>
      </c>
      <c r="I19" s="95">
        <f t="shared" si="9"/>
        <v>96294.579999489011</v>
      </c>
      <c r="J19" s="95">
        <f t="shared" si="10"/>
        <v>97020.12374474798</v>
      </c>
      <c r="K19" s="95">
        <f t="shared" si="11"/>
        <v>97751.144242502196</v>
      </c>
      <c r="L19" s="95">
        <f t="shared" si="12"/>
        <v>93446.355053459964</v>
      </c>
      <c r="M19" s="94" t="s">
        <v>987</v>
      </c>
      <c r="N19" s="94">
        <f>581-$AD$19</f>
        <v>548</v>
      </c>
      <c r="O19" s="94">
        <v>16</v>
      </c>
      <c r="P19" s="94">
        <f t="shared" si="17"/>
        <v>0.51500000000000001</v>
      </c>
      <c r="Q19" s="94">
        <v>3</v>
      </c>
      <c r="R19" s="94">
        <f t="shared" si="0"/>
        <v>17.967213114754099</v>
      </c>
      <c r="S19" s="95">
        <v>100000</v>
      </c>
      <c r="T19" s="95">
        <v>92000</v>
      </c>
      <c r="U19" s="95">
        <f t="shared" si="13"/>
        <v>126162.44892264927</v>
      </c>
      <c r="W19">
        <v>98</v>
      </c>
      <c r="X19">
        <v>6</v>
      </c>
      <c r="Y19">
        <f t="shared" si="16"/>
        <v>1185</v>
      </c>
      <c r="Z19" s="3">
        <f t="shared" si="15"/>
        <v>117854.48866817009</v>
      </c>
      <c r="AA19" s="3">
        <f t="shared" si="1"/>
        <v>24892.42587042087</v>
      </c>
      <c r="AC19" t="s">
        <v>1065</v>
      </c>
      <c r="AD19">
        <v>33</v>
      </c>
      <c r="AF19" s="26"/>
    </row>
    <row r="20" spans="1:32">
      <c r="A20" s="90" t="s">
        <v>961</v>
      </c>
      <c r="B20" s="91">
        <f>$S20/(1+($AC$2-$O20+$P20)/36500)^$N20</f>
        <v>98507.164209386785</v>
      </c>
      <c r="C20" s="91">
        <f t="shared" si="3"/>
        <v>99157.003937763409</v>
      </c>
      <c r="D20" s="91">
        <f t="shared" si="4"/>
        <v>99975.345510542029</v>
      </c>
      <c r="E20" s="91">
        <f t="shared" si="5"/>
        <v>100800.45219583091</v>
      </c>
      <c r="F20" s="91">
        <f t="shared" si="6"/>
        <v>101632.38001368174</v>
      </c>
      <c r="G20" s="91">
        <f t="shared" si="7"/>
        <v>102471.18544879394</v>
      </c>
      <c r="H20" s="91">
        <f t="shared" si="8"/>
        <v>103316.92545440474</v>
      </c>
      <c r="I20" s="91">
        <f t="shared" si="9"/>
        <v>104169.65745614262</v>
      </c>
      <c r="J20" s="91">
        <f t="shared" si="10"/>
        <v>105029.43935601077</v>
      </c>
      <c r="K20" s="91">
        <f t="shared" si="11"/>
        <v>105896.32953629606</v>
      </c>
      <c r="L20" s="91">
        <f t="shared" si="12"/>
        <v>100800.45219583091</v>
      </c>
      <c r="M20" s="90" t="s">
        <v>988</v>
      </c>
      <c r="N20" s="90">
        <f>633-$AD$19</f>
        <v>600</v>
      </c>
      <c r="O20" s="90">
        <v>21</v>
      </c>
      <c r="P20" s="90">
        <f t="shared" si="17"/>
        <v>0.51500000000000001</v>
      </c>
      <c r="Q20" s="90">
        <v>3</v>
      </c>
      <c r="R20" s="90">
        <f t="shared" si="0"/>
        <v>19.672131147540984</v>
      </c>
      <c r="S20" s="91">
        <v>100000</v>
      </c>
      <c r="T20" s="91">
        <v>100000</v>
      </c>
      <c r="U20" s="91">
        <f t="shared" si="13"/>
        <v>140023.04497715097</v>
      </c>
      <c r="W20">
        <v>98</v>
      </c>
      <c r="X20" s="9">
        <v>7</v>
      </c>
      <c r="Y20">
        <f t="shared" si="16"/>
        <v>1185</v>
      </c>
      <c r="Z20" s="3">
        <f t="shared" si="15"/>
        <v>119974.64181327351</v>
      </c>
      <c r="AA20" s="3">
        <f t="shared" si="1"/>
        <v>26521.340798443376</v>
      </c>
      <c r="AF20" s="26"/>
    </row>
    <row r="21" spans="1:32">
      <c r="A21" s="92" t="s">
        <v>954</v>
      </c>
      <c r="B21" s="93">
        <f t="shared" si="2"/>
        <v>98339.388373473586</v>
      </c>
      <c r="C21" s="93">
        <f t="shared" si="3"/>
        <v>99061.913841915797</v>
      </c>
      <c r="D21" s="93">
        <f t="shared" si="4"/>
        <v>99972.551718580013</v>
      </c>
      <c r="E21" s="93">
        <f t="shared" si="5"/>
        <v>100891.57338411782</v>
      </c>
      <c r="F21" s="93">
        <f t="shared" si="6"/>
        <v>101819.05614034229</v>
      </c>
      <c r="G21" s="93">
        <f t="shared" si="7"/>
        <v>102755.07800287521</v>
      </c>
      <c r="H21" s="93">
        <f t="shared" si="8"/>
        <v>103699.71770778156</v>
      </c>
      <c r="I21" s="93">
        <f t="shared" si="9"/>
        <v>104653.05471818823</v>
      </c>
      <c r="J21" s="93">
        <f t="shared" si="10"/>
        <v>105615.16923107357</v>
      </c>
      <c r="K21" s="93">
        <f t="shared" si="11"/>
        <v>106586.14218399972</v>
      </c>
      <c r="L21" s="93">
        <f t="shared" si="12"/>
        <v>100891.57338411782</v>
      </c>
      <c r="M21" s="92" t="s">
        <v>989</v>
      </c>
      <c r="N21" s="92">
        <f>701-$AD$19</f>
        <v>668</v>
      </c>
      <c r="O21" s="92">
        <v>21</v>
      </c>
      <c r="P21" s="92">
        <f t="shared" si="17"/>
        <v>0.51500000000000001</v>
      </c>
      <c r="Q21" s="92">
        <v>3</v>
      </c>
      <c r="R21" s="92">
        <f t="shared" si="0"/>
        <v>21.901639344262296</v>
      </c>
      <c r="S21" s="93">
        <v>100000</v>
      </c>
      <c r="T21" s="93">
        <v>100000</v>
      </c>
      <c r="U21" s="93">
        <f t="shared" si="13"/>
        <v>145468.44498204524</v>
      </c>
      <c r="W21">
        <v>98</v>
      </c>
      <c r="X21">
        <v>8</v>
      </c>
      <c r="Y21">
        <f t="shared" si="16"/>
        <v>1185</v>
      </c>
      <c r="Z21" s="3">
        <f t="shared" si="15"/>
        <v>122132.93563006021</v>
      </c>
      <c r="AA21" s="3">
        <f t="shared" si="1"/>
        <v>28179.304709348951</v>
      </c>
      <c r="AE21" s="25"/>
      <c r="AF21" s="26"/>
    </row>
    <row r="22" spans="1:32">
      <c r="A22" s="94" t="s">
        <v>969</v>
      </c>
      <c r="B22" s="95">
        <f t="shared" si="2"/>
        <v>92816.85896721379</v>
      </c>
      <c r="C22" s="95">
        <f t="shared" si="3"/>
        <v>93526.419364053494</v>
      </c>
      <c r="D22" s="95">
        <f t="shared" si="4"/>
        <v>94421.013858715829</v>
      </c>
      <c r="E22" s="95">
        <f t="shared" si="5"/>
        <v>95324.177716415172</v>
      </c>
      <c r="F22" s="95">
        <f t="shared" si="6"/>
        <v>96235.993142572144</v>
      </c>
      <c r="G22" s="95">
        <f t="shared" si="7"/>
        <v>97156.543132304883</v>
      </c>
      <c r="H22" s="95">
        <f t="shared" si="8"/>
        <v>98085.911478103691</v>
      </c>
      <c r="I22" s="95">
        <f t="shared" si="9"/>
        <v>99024.18277741257</v>
      </c>
      <c r="J22" s="95">
        <f t="shared" si="10"/>
        <v>99971.442440484345</v>
      </c>
      <c r="K22" s="95">
        <f t="shared" si="11"/>
        <v>100927.77669808532</v>
      </c>
      <c r="L22" s="95">
        <f t="shared" si="12"/>
        <v>95324.177716415172</v>
      </c>
      <c r="M22" s="94" t="s">
        <v>1018</v>
      </c>
      <c r="N22" s="94">
        <f>728-$AD$19</f>
        <v>695</v>
      </c>
      <c r="O22" s="94">
        <v>18</v>
      </c>
      <c r="P22" s="94">
        <f t="shared" si="17"/>
        <v>0.51500000000000001</v>
      </c>
      <c r="Q22" s="94">
        <v>3</v>
      </c>
      <c r="R22" s="94">
        <f t="shared" si="0"/>
        <v>22.78688524590164</v>
      </c>
      <c r="S22" s="95">
        <v>100000</v>
      </c>
      <c r="T22" s="95">
        <v>95000</v>
      </c>
      <c r="U22" s="95">
        <f t="shared" si="13"/>
        <v>139489.36182598572</v>
      </c>
      <c r="W22">
        <v>98</v>
      </c>
      <c r="X22" s="9">
        <v>9</v>
      </c>
      <c r="Y22">
        <f t="shared" si="16"/>
        <v>1185</v>
      </c>
      <c r="Z22" s="3">
        <f t="shared" si="15"/>
        <v>124330.0562533218</v>
      </c>
      <c r="AA22" s="3">
        <f t="shared" si="1"/>
        <v>29866.835643332342</v>
      </c>
      <c r="AE22" s="25"/>
      <c r="AF22" s="26"/>
    </row>
    <row r="23" spans="1:32">
      <c r="A23" s="90" t="s">
        <v>970</v>
      </c>
      <c r="B23" s="91">
        <f t="shared" si="2"/>
        <v>90178.190167467619</v>
      </c>
      <c r="C23" s="91">
        <f t="shared" si="3"/>
        <v>90810.806235685901</v>
      </c>
      <c r="D23" s="91">
        <f t="shared" si="4"/>
        <v>91607.830649476382</v>
      </c>
      <c r="E23" s="91">
        <f t="shared" si="5"/>
        <v>92411.861413905921</v>
      </c>
      <c r="F23" s="91">
        <f t="shared" si="6"/>
        <v>93222.9602164471</v>
      </c>
      <c r="G23" s="91">
        <f t="shared" si="7"/>
        <v>94041.189288614347</v>
      </c>
      <c r="H23" s="91">
        <f t="shared" si="8"/>
        <v>94866.611410663347</v>
      </c>
      <c r="I23" s="91">
        <f t="shared" si="9"/>
        <v>95699.289916517009</v>
      </c>
      <c r="J23" s="91">
        <f t="shared" si="10"/>
        <v>96539.288698629432</v>
      </c>
      <c r="K23" s="91">
        <f t="shared" si="11"/>
        <v>97386.672212880731</v>
      </c>
      <c r="L23" s="91">
        <f t="shared" si="12"/>
        <v>92411.861413905921</v>
      </c>
      <c r="M23" s="90" t="s">
        <v>990</v>
      </c>
      <c r="N23" s="90">
        <f>671-$AD$19</f>
        <v>638</v>
      </c>
      <c r="O23" s="90">
        <v>16</v>
      </c>
      <c r="P23" s="90">
        <f t="shared" si="17"/>
        <v>0.51500000000000001</v>
      </c>
      <c r="Q23" s="90">
        <v>3</v>
      </c>
      <c r="R23" s="90">
        <f t="shared" si="0"/>
        <v>20.918032786885245</v>
      </c>
      <c r="S23" s="91">
        <v>100000</v>
      </c>
      <c r="T23" s="91">
        <v>90600</v>
      </c>
      <c r="U23" s="91">
        <f t="shared" si="13"/>
        <v>131070.88247594581</v>
      </c>
      <c r="W23">
        <v>98</v>
      </c>
      <c r="X23">
        <v>10</v>
      </c>
      <c r="Y23">
        <f t="shared" si="16"/>
        <v>1185</v>
      </c>
      <c r="Z23" s="3">
        <f t="shared" si="15"/>
        <v>126566.70216112894</v>
      </c>
      <c r="AA23" s="3">
        <f t="shared" si="1"/>
        <v>31584.460878971771</v>
      </c>
      <c r="AC23" t="s">
        <v>957</v>
      </c>
      <c r="AD23" t="s">
        <v>1066</v>
      </c>
      <c r="AE23" s="25"/>
      <c r="AF23" s="26"/>
    </row>
    <row r="24" spans="1:32">
      <c r="A24" s="92" t="s">
        <v>971</v>
      </c>
      <c r="B24" s="93">
        <f t="shared" si="2"/>
        <v>83444.102890956798</v>
      </c>
      <c r="C24" s="93">
        <f t="shared" si="3"/>
        <v>84319.059584366507</v>
      </c>
      <c r="D24" s="93">
        <f>$S24/(1+($AC$4-$O24+$P24)/36500)^$N24</f>
        <v>85425.68192611562</v>
      </c>
      <c r="E24" s="93">
        <f t="shared" si="5"/>
        <v>86546.84328493214</v>
      </c>
      <c r="F24" s="93">
        <f t="shared" si="6"/>
        <v>87682.734880295146</v>
      </c>
      <c r="G24" s="93">
        <f t="shared" si="7"/>
        <v>88833.550449326911</v>
      </c>
      <c r="H24" s="93">
        <f t="shared" si="8"/>
        <v>89999.486279874196</v>
      </c>
      <c r="I24" s="93">
        <f t="shared" si="9"/>
        <v>91180.74124429471</v>
      </c>
      <c r="J24" s="93">
        <f t="shared" si="10"/>
        <v>92377.516833348971</v>
      </c>
      <c r="K24" s="93">
        <f t="shared" si="11"/>
        <v>93590.01719086185</v>
      </c>
      <c r="L24" s="93">
        <f t="shared" si="12"/>
        <v>86546.84328493214</v>
      </c>
      <c r="M24" s="92" t="s">
        <v>991</v>
      </c>
      <c r="N24" s="92">
        <f>985-$AD$19</f>
        <v>952</v>
      </c>
      <c r="O24" s="92">
        <v>15</v>
      </c>
      <c r="P24" s="92">
        <f>$AI$2</f>
        <v>0.54</v>
      </c>
      <c r="Q24" s="92">
        <v>6</v>
      </c>
      <c r="R24" s="92">
        <f t="shared" si="0"/>
        <v>31.21311475409836</v>
      </c>
      <c r="S24" s="93">
        <v>100000</v>
      </c>
      <c r="T24" s="93">
        <v>85800</v>
      </c>
      <c r="U24" s="93">
        <f t="shared" si="13"/>
        <v>145790.74272767684</v>
      </c>
      <c r="W24">
        <v>98</v>
      </c>
      <c r="X24">
        <v>11</v>
      </c>
      <c r="Y24">
        <f t="shared" si="16"/>
        <v>1185</v>
      </c>
      <c r="Z24" s="3">
        <f t="shared" si="15"/>
        <v>128843.58439688174</v>
      </c>
      <c r="AA24" s="3">
        <f t="shared" si="1"/>
        <v>33332.717097980101</v>
      </c>
      <c r="AC24">
        <v>85600</v>
      </c>
      <c r="AD24">
        <v>980</v>
      </c>
      <c r="AE24" s="3">
        <f>AC24*(1+AC2/36500)^AD24</f>
        <v>152032.18688719775</v>
      </c>
      <c r="AF24" s="26"/>
    </row>
    <row r="25" spans="1:32">
      <c r="A25" s="94" t="s">
        <v>945</v>
      </c>
      <c r="B25" s="95">
        <f t="shared" si="2"/>
        <v>82413.349344966075</v>
      </c>
      <c r="C25" s="95">
        <f t="shared" si="3"/>
        <v>82711.758083624227</v>
      </c>
      <c r="D25" s="95">
        <f t="shared" si="4"/>
        <v>83086.293546144283</v>
      </c>
      <c r="E25" s="95">
        <f t="shared" si="5"/>
        <v>83462.530143144089</v>
      </c>
      <c r="F25" s="95">
        <f t="shared" si="6"/>
        <v>83840.475624608895</v>
      </c>
      <c r="G25" s="95">
        <f t="shared" si="7"/>
        <v>84220.137775919953</v>
      </c>
      <c r="H25" s="95">
        <f t="shared" si="8"/>
        <v>84601.524418052795</v>
      </c>
      <c r="I25" s="95">
        <f t="shared" si="9"/>
        <v>84984.643407707976</v>
      </c>
      <c r="J25" s="95">
        <f t="shared" si="10"/>
        <v>85369.502637495272</v>
      </c>
      <c r="K25" s="95">
        <f t="shared" si="11"/>
        <v>85756.110036102997</v>
      </c>
      <c r="L25" s="95">
        <f t="shared" si="12"/>
        <v>83462.530143144089</v>
      </c>
      <c r="M25" s="94" t="s">
        <v>992</v>
      </c>
      <c r="N25" s="94">
        <f>363-$AD$19</f>
        <v>330</v>
      </c>
      <c r="O25" s="94">
        <v>0</v>
      </c>
      <c r="P25" s="94">
        <v>0</v>
      </c>
      <c r="Q25" s="94">
        <v>0</v>
      </c>
      <c r="R25" s="94">
        <f t="shared" si="0"/>
        <v>10.819672131147541</v>
      </c>
      <c r="S25" s="95">
        <v>100000</v>
      </c>
      <c r="T25" s="95">
        <v>82800</v>
      </c>
      <c r="U25" s="95">
        <f>B25*(1+$AC$2/36500)^N25</f>
        <v>100000</v>
      </c>
      <c r="W25">
        <v>98</v>
      </c>
      <c r="X25">
        <v>12</v>
      </c>
      <c r="Y25">
        <f t="shared" si="16"/>
        <v>1185</v>
      </c>
      <c r="Z25" s="3">
        <f t="shared" si="15"/>
        <v>131161.42679535478</v>
      </c>
      <c r="AA25" s="3">
        <f t="shared" si="1"/>
        <v>35112.150552894083</v>
      </c>
      <c r="AE25" s="25"/>
      <c r="AF25" s="26"/>
    </row>
    <row r="26" spans="1:32">
      <c r="A26" s="90" t="s">
        <v>980</v>
      </c>
      <c r="B26" s="91">
        <f t="shared" si="2"/>
        <v>93636.899940189993</v>
      </c>
      <c r="C26" s="91">
        <f t="shared" si="3"/>
        <v>94914.838631186314</v>
      </c>
      <c r="D26" s="91">
        <f t="shared" si="4"/>
        <v>96536.836482773026</v>
      </c>
      <c r="E26" s="91">
        <f t="shared" si="5"/>
        <v>98186.575414793318</v>
      </c>
      <c r="F26" s="91">
        <f t="shared" si="6"/>
        <v>99864.530273640863</v>
      </c>
      <c r="G26" s="91">
        <f t="shared" si="7"/>
        <v>101571.18404032274</v>
      </c>
      <c r="H26" s="91">
        <f t="shared" si="8"/>
        <v>103307.02797001039</v>
      </c>
      <c r="I26" s="91">
        <f t="shared" si="9"/>
        <v>105072.56173384697</v>
      </c>
      <c r="J26" s="91">
        <f t="shared" si="10"/>
        <v>106868.29356324651</v>
      </c>
      <c r="K26" s="91">
        <f t="shared" si="11"/>
        <v>108694.74039672824</v>
      </c>
      <c r="L26" s="91">
        <f t="shared" si="12"/>
        <v>98186.575414793318</v>
      </c>
      <c r="M26" s="90" t="s">
        <v>983</v>
      </c>
      <c r="N26" s="90">
        <f>1270-$AD$19</f>
        <v>1237</v>
      </c>
      <c r="O26" s="90">
        <v>20</v>
      </c>
      <c r="P26" s="90">
        <f>$AI$2</f>
        <v>0.54</v>
      </c>
      <c r="Q26" s="90">
        <v>6</v>
      </c>
      <c r="R26" s="90">
        <f t="shared" si="0"/>
        <v>40.557377049180324</v>
      </c>
      <c r="S26" s="91">
        <v>100000</v>
      </c>
      <c r="T26" s="91">
        <v>100000</v>
      </c>
      <c r="U26" s="91">
        <f t="shared" si="13"/>
        <v>193343.19159321932</v>
      </c>
      <c r="W26">
        <v>99</v>
      </c>
      <c r="X26">
        <v>1</v>
      </c>
      <c r="Y26">
        <f t="shared" si="16"/>
        <v>1185</v>
      </c>
      <c r="Z26" s="3">
        <f t="shared" si="15"/>
        <v>133520.96621280871</v>
      </c>
      <c r="AA26" s="3">
        <f t="shared" si="1"/>
        <v>36923.317237754032</v>
      </c>
      <c r="AE26" s="25"/>
      <c r="AF26" s="26"/>
    </row>
    <row r="27" spans="1:32">
      <c r="A27" s="92" t="s">
        <v>984</v>
      </c>
      <c r="B27" s="93">
        <f t="shared" si="2"/>
        <v>100074.78145910012</v>
      </c>
      <c r="C27" s="93">
        <f t="shared" si="3"/>
        <v>100427.44804456863</v>
      </c>
      <c r="D27" s="93">
        <f t="shared" si="4"/>
        <v>100870.03495640258</v>
      </c>
      <c r="E27" s="93">
        <f t="shared" si="5"/>
        <v>101314.57846578947</v>
      </c>
      <c r="F27" s="93">
        <f t="shared" si="6"/>
        <v>101761.08724948319</v>
      </c>
      <c r="G27" s="93">
        <f t="shared" si="7"/>
        <v>102209.57002282169</v>
      </c>
      <c r="H27" s="93">
        <f t="shared" si="8"/>
        <v>102660.03553993006</v>
      </c>
      <c r="I27" s="93">
        <f t="shared" si="9"/>
        <v>103112.49259386765</v>
      </c>
      <c r="J27" s="93">
        <f t="shared" si="10"/>
        <v>103566.95001680944</v>
      </c>
      <c r="K27" s="93">
        <f t="shared" si="11"/>
        <v>104023.41668022411</v>
      </c>
      <c r="L27" s="93">
        <f t="shared" si="12"/>
        <v>101314.57846578947</v>
      </c>
      <c r="M27" s="92" t="s">
        <v>985</v>
      </c>
      <c r="N27" s="92">
        <f>354-$AD$19</f>
        <v>321</v>
      </c>
      <c r="O27" s="92">
        <v>22</v>
      </c>
      <c r="P27" s="92">
        <f>AI1</f>
        <v>0.51500000000000001</v>
      </c>
      <c r="Q27" s="92">
        <v>3</v>
      </c>
      <c r="R27" s="92">
        <f t="shared" si="0"/>
        <v>10.524590163934427</v>
      </c>
      <c r="S27" s="93">
        <v>100000</v>
      </c>
      <c r="T27" s="93">
        <v>103000</v>
      </c>
      <c r="U27" s="93">
        <f t="shared" si="13"/>
        <v>120791.42653920046</v>
      </c>
      <c r="W27">
        <v>99</v>
      </c>
      <c r="X27">
        <v>2</v>
      </c>
      <c r="Y27">
        <f t="shared" si="16"/>
        <v>1185</v>
      </c>
      <c r="Z27" s="3">
        <f t="shared" si="15"/>
        <v>135922.95276124121</v>
      </c>
      <c r="AA27" s="3">
        <f t="shared" si="1"/>
        <v>38766.783061827315</v>
      </c>
      <c r="AE27" s="25"/>
      <c r="AF27" s="26"/>
    </row>
    <row r="28" spans="1:32">
      <c r="A28" s="94" t="s">
        <v>1010</v>
      </c>
      <c r="B28" s="95">
        <f t="shared" si="2"/>
        <v>99190.150861841583</v>
      </c>
      <c r="C28" s="95">
        <f t="shared" si="3"/>
        <v>100000</v>
      </c>
      <c r="D28" s="95">
        <f t="shared" si="4"/>
        <v>101021.62867065641</v>
      </c>
      <c r="E28" s="95">
        <f t="shared" si="5"/>
        <v>102053.70880287158</v>
      </c>
      <c r="F28" s="95">
        <f t="shared" si="6"/>
        <v>103096.34746253595</v>
      </c>
      <c r="G28" s="95">
        <f t="shared" si="7"/>
        <v>104149.6528137823</v>
      </c>
      <c r="H28" s="95">
        <f t="shared" si="8"/>
        <v>105213.73413036922</v>
      </c>
      <c r="I28" s="95">
        <f t="shared" si="9"/>
        <v>106288.70180696837</v>
      </c>
      <c r="J28" s="95">
        <f t="shared" si="10"/>
        <v>107374.66737075159</v>
      </c>
      <c r="K28" s="95">
        <f t="shared" si="11"/>
        <v>108471.74349298365</v>
      </c>
      <c r="L28" s="95">
        <f t="shared" si="12"/>
        <v>102053.70880287158</v>
      </c>
      <c r="M28" s="94" t="s">
        <v>1011</v>
      </c>
      <c r="N28" s="94">
        <f>775-$AD$19</f>
        <v>742</v>
      </c>
      <c r="O28" s="94">
        <v>21</v>
      </c>
      <c r="P28" s="94">
        <v>0</v>
      </c>
      <c r="Q28" s="94">
        <v>1</v>
      </c>
      <c r="R28" s="94">
        <f t="shared" si="0"/>
        <v>24.327868852459016</v>
      </c>
      <c r="S28" s="95">
        <v>100000</v>
      </c>
      <c r="T28" s="95">
        <v>104000</v>
      </c>
      <c r="U28" s="95">
        <f t="shared" si="13"/>
        <v>153231.04171930262</v>
      </c>
      <c r="W28">
        <v>99</v>
      </c>
      <c r="X28">
        <v>3</v>
      </c>
      <c r="Y28">
        <f t="shared" si="16"/>
        <v>1185</v>
      </c>
      <c r="Z28" s="3">
        <f t="shared" si="15"/>
        <v>138368.15004685227</v>
      </c>
      <c r="AA28" s="3">
        <f t="shared" si="1"/>
        <v>40643.124026429905</v>
      </c>
      <c r="AC28" s="85">
        <f>AD28*((1+$AC$2/36500)^30)</f>
        <v>10177393.935431281</v>
      </c>
      <c r="AD28" s="3">
        <v>10000000</v>
      </c>
      <c r="AE28" s="25"/>
      <c r="AF28" s="26"/>
    </row>
    <row r="29" spans="1:32">
      <c r="A29" s="90" t="s">
        <v>1060</v>
      </c>
      <c r="B29" s="91">
        <f t="shared" si="2"/>
        <v>83890.095267276134</v>
      </c>
      <c r="C29" s="91">
        <f t="shared" si="3"/>
        <v>85091.773560832982</v>
      </c>
      <c r="D29" s="91">
        <f t="shared" si="4"/>
        <v>86618.125521729642</v>
      </c>
      <c r="E29" s="91">
        <f t="shared" si="5"/>
        <v>88171.878220245038</v>
      </c>
      <c r="F29" s="91">
        <f t="shared" si="6"/>
        <v>89753.523933852455</v>
      </c>
      <c r="G29" s="91">
        <f t="shared" si="7"/>
        <v>91363.563791219422</v>
      </c>
      <c r="H29" s="91">
        <f t="shared" si="8"/>
        <v>93002.507931403641</v>
      </c>
      <c r="I29" s="91">
        <f t="shared" si="9"/>
        <v>94670.87566583867</v>
      </c>
      <c r="J29" s="91">
        <f t="shared" si="10"/>
        <v>96369.195643708488</v>
      </c>
      <c r="K29" s="91">
        <f t="shared" si="11"/>
        <v>98098.006019638851</v>
      </c>
      <c r="L29" s="91">
        <f t="shared" si="12"/>
        <v>88171.878220245038</v>
      </c>
      <c r="M29" s="90" t="s">
        <v>1061</v>
      </c>
      <c r="N29" s="90">
        <f>1331-$AD$19</f>
        <v>1298</v>
      </c>
      <c r="O29" s="90">
        <v>17</v>
      </c>
      <c r="P29" s="90">
        <f>AI2</f>
        <v>0.54</v>
      </c>
      <c r="Q29" s="90">
        <v>6</v>
      </c>
      <c r="R29" s="90">
        <f t="shared" si="0"/>
        <v>42.557377049180324</v>
      </c>
      <c r="S29" s="91">
        <v>100000</v>
      </c>
      <c r="T29" s="91"/>
      <c r="U29" s="91">
        <f t="shared" si="13"/>
        <v>179523.07019437655</v>
      </c>
      <c r="W29">
        <v>99</v>
      </c>
      <c r="X29">
        <v>4</v>
      </c>
      <c r="Y29">
        <f t="shared" si="16"/>
        <v>1185</v>
      </c>
      <c r="Z29" s="3">
        <f t="shared" si="15"/>
        <v>140857.33541279926</v>
      </c>
      <c r="AA29" s="3">
        <f t="shared" si="1"/>
        <v>42552.926404901242</v>
      </c>
      <c r="AE29" s="25"/>
      <c r="AF29" s="26"/>
    </row>
    <row r="30" spans="1:32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86"/>
      <c r="W30">
        <v>99</v>
      </c>
      <c r="X30">
        <v>5</v>
      </c>
      <c r="Y30">
        <f t="shared" si="16"/>
        <v>1185</v>
      </c>
      <c r="Z30" s="3">
        <f t="shared" si="15"/>
        <v>143391.30018631907</v>
      </c>
      <c r="AA30" s="3">
        <f t="shared" si="1"/>
        <v>44496.786925788649</v>
      </c>
      <c r="AD30" s="25"/>
      <c r="AE30" s="26"/>
    </row>
    <row r="31" spans="1:32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86"/>
      <c r="W31">
        <v>99</v>
      </c>
      <c r="X31">
        <v>6</v>
      </c>
      <c r="Y31">
        <f t="shared" si="16"/>
        <v>1185</v>
      </c>
      <c r="Z31" s="3">
        <f t="shared" si="15"/>
        <v>145970.84993029587</v>
      </c>
      <c r="AA31" s="3">
        <f t="shared" si="1"/>
        <v>46475.31295929855</v>
      </c>
      <c r="AD31" s="25"/>
      <c r="AE31" s="26"/>
    </row>
    <row r="32" spans="1:32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86"/>
      <c r="W32">
        <v>99</v>
      </c>
      <c r="X32">
        <v>7</v>
      </c>
      <c r="Y32">
        <f t="shared" si="16"/>
        <v>1185</v>
      </c>
      <c r="Z32" s="3">
        <f t="shared" si="15"/>
        <v>148596.8046993544</v>
      </c>
      <c r="AA32" s="3">
        <f t="shared" si="1"/>
        <v>48489.122707072711</v>
      </c>
      <c r="AD32" s="25"/>
      <c r="AE32" s="26"/>
    </row>
    <row r="33" spans="1:31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86"/>
      <c r="W33">
        <v>99</v>
      </c>
      <c r="X33">
        <v>8</v>
      </c>
      <c r="Y33">
        <f t="shared" si="16"/>
        <v>1185</v>
      </c>
      <c r="Z33" s="3">
        <f t="shared" si="15"/>
        <v>151269.99930056048</v>
      </c>
      <c r="AA33" s="3">
        <f t="shared" si="1"/>
        <v>50538.845395348842</v>
      </c>
      <c r="AD33" s="25"/>
      <c r="AE33" s="26"/>
    </row>
    <row r="34" spans="1:31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W34">
        <v>99</v>
      </c>
      <c r="X34" s="9">
        <v>9</v>
      </c>
      <c r="Y34">
        <f t="shared" si="16"/>
        <v>1185</v>
      </c>
      <c r="Z34" s="3">
        <f>Z33*(1+($AC$2+0.1875)/1200)</f>
        <v>153991.28355881118</v>
      </c>
      <c r="AA34" s="3">
        <f t="shared" si="1"/>
        <v>52625.121471565901</v>
      </c>
      <c r="AD34" s="25"/>
      <c r="AE34" s="26"/>
    </row>
    <row r="35" spans="1:31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W35">
        <v>99</v>
      </c>
      <c r="X35">
        <v>10</v>
      </c>
      <c r="Y35">
        <f t="shared" si="16"/>
        <v>1185</v>
      </c>
      <c r="Z35" s="3">
        <f t="shared" si="15"/>
        <v>156761.52258699934</v>
      </c>
      <c r="AA35" s="3">
        <f t="shared" si="1"/>
        <v>54748.602804475493</v>
      </c>
      <c r="AD35" s="25"/>
      <c r="AE35" s="26"/>
    </row>
    <row r="36" spans="1:31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W36">
        <v>99</v>
      </c>
      <c r="X36">
        <v>11</v>
      </c>
      <c r="Y36">
        <f t="shared" si="16"/>
        <v>1185</v>
      </c>
      <c r="Z36" s="3">
        <f t="shared" si="15"/>
        <v>159581.59706103837</v>
      </c>
      <c r="AA36" s="3">
        <f t="shared" si="1"/>
        <v>56909.952887821972</v>
      </c>
      <c r="AD36" s="25"/>
      <c r="AE36" s="26"/>
    </row>
    <row r="37" spans="1:31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W37">
        <v>99</v>
      </c>
      <c r="X37">
        <v>12</v>
      </c>
      <c r="Y37">
        <f t="shared" si="16"/>
        <v>1185</v>
      </c>
      <c r="Z37" s="3">
        <f t="shared" si="15"/>
        <v>162452.40349983433</v>
      </c>
      <c r="AA37" s="3">
        <f t="shared" si="1"/>
        <v>59109.847047654795</v>
      </c>
      <c r="AD37" s="25"/>
      <c r="AE37" s="26"/>
    </row>
    <row r="38" spans="1:31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W38">
        <v>100</v>
      </c>
      <c r="X38">
        <v>1</v>
      </c>
      <c r="Y38">
        <f t="shared" si="16"/>
        <v>1185</v>
      </c>
      <c r="Z38" s="3">
        <f t="shared" si="15"/>
        <v>165374.85455029487</v>
      </c>
      <c r="AA38" s="3">
        <f t="shared" si="1"/>
        <v>61348.972653337973</v>
      </c>
      <c r="AD38" s="25"/>
      <c r="AE38" s="26"/>
    </row>
    <row r="39" spans="1:31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W39">
        <v>100</v>
      </c>
      <c r="X39">
        <v>2</v>
      </c>
      <c r="Y39">
        <f t="shared" si="16"/>
        <v>1185</v>
      </c>
      <c r="Z39" s="3">
        <f t="shared" si="15"/>
        <v>168349.87927746525</v>
      </c>
      <c r="AA39" s="3">
        <f t="shared" si="1"/>
        <v>63628.029332322505</v>
      </c>
      <c r="AD39" s="25"/>
      <c r="AE39" s="26"/>
    </row>
    <row r="40" spans="1:31">
      <c r="W40">
        <v>100</v>
      </c>
      <c r="X40">
        <v>3</v>
      </c>
      <c r="Y40">
        <f t="shared" si="16"/>
        <v>1185</v>
      </c>
      <c r="Z40" s="3">
        <f t="shared" si="15"/>
        <v>171378.42345988381</v>
      </c>
      <c r="AA40" s="3">
        <f t="shared" si="1"/>
        <v>65947.729188748926</v>
      </c>
      <c r="AD40" s="25"/>
      <c r="AE40" s="26"/>
    </row>
    <row r="41" spans="1:31">
      <c r="D41" t="s">
        <v>1140</v>
      </c>
      <c r="E41">
        <v>7.2499999999999995E-2</v>
      </c>
      <c r="W41">
        <v>100</v>
      </c>
      <c r="X41">
        <v>4</v>
      </c>
      <c r="Y41">
        <f t="shared" si="16"/>
        <v>1185</v>
      </c>
      <c r="Z41" s="3">
        <f t="shared" si="15"/>
        <v>174461.44989025066</v>
      </c>
      <c r="AA41" s="3">
        <f t="shared" si="1"/>
        <v>68308.797025948283</v>
      </c>
      <c r="AD41" s="25"/>
      <c r="AE41" s="26"/>
    </row>
    <row r="42" spans="1:31">
      <c r="D42" t="s">
        <v>1141</v>
      </c>
      <c r="E42">
        <v>7.2499999999999995E-2</v>
      </c>
      <c r="W42">
        <v>100</v>
      </c>
      <c r="X42">
        <v>5</v>
      </c>
      <c r="Y42">
        <f t="shared" si="16"/>
        <v>1185</v>
      </c>
      <c r="Z42" s="3">
        <f t="shared" si="15"/>
        <v>177599.93868150547</v>
      </c>
      <c r="AA42" s="3">
        <f t="shared" si="1"/>
        <v>70711.970572911028</v>
      </c>
      <c r="AD42" s="25"/>
      <c r="AE42" s="26"/>
    </row>
    <row r="43" spans="1:31">
      <c r="D43" t="s">
        <v>1142</v>
      </c>
      <c r="E43">
        <v>0.125</v>
      </c>
      <c r="W43">
        <v>100</v>
      </c>
      <c r="X43" s="9">
        <v>6</v>
      </c>
      <c r="Y43">
        <f t="shared" si="16"/>
        <v>1185</v>
      </c>
      <c r="Z43" s="3">
        <f t="shared" si="15"/>
        <v>180794.88757841129</v>
      </c>
      <c r="AA43" s="3">
        <f t="shared" si="1"/>
        <v>73158.000714794616</v>
      </c>
      <c r="AD43" s="25"/>
      <c r="AE43" s="26"/>
    </row>
    <row r="44" spans="1:31">
      <c r="W44">
        <v>100</v>
      </c>
      <c r="X44">
        <v>7</v>
      </c>
      <c r="Y44">
        <f t="shared" si="16"/>
        <v>1185</v>
      </c>
      <c r="Z44" s="3">
        <f t="shared" si="15"/>
        <v>184047.31227474374</v>
      </c>
      <c r="AA44" s="3">
        <f t="shared" si="1"/>
        <v>75647.651727541786</v>
      </c>
      <c r="AD44" s="25"/>
      <c r="AE44" s="26"/>
    </row>
    <row r="45" spans="1:31">
      <c r="W45">
        <v>100</v>
      </c>
      <c r="X45">
        <v>8</v>
      </c>
      <c r="Y45">
        <f t="shared" si="16"/>
        <v>1185</v>
      </c>
      <c r="Z45" s="3">
        <f t="shared" si="15"/>
        <v>187358.24673618624</v>
      </c>
      <c r="AA45" s="3">
        <f t="shared" si="1"/>
        <v>78181.701516682951</v>
      </c>
      <c r="AD45" s="25"/>
      <c r="AE45" s="26"/>
    </row>
    <row r="46" spans="1:31">
      <c r="W46">
        <v>100</v>
      </c>
      <c r="X46">
        <v>9</v>
      </c>
      <c r="Y46">
        <f t="shared" si="16"/>
        <v>1185</v>
      </c>
      <c r="Z46" s="3">
        <f t="shared" si="15"/>
        <v>190728.74352903408</v>
      </c>
      <c r="AA46" s="3">
        <f t="shared" si="1"/>
        <v>80760.941860397128</v>
      </c>
      <c r="AD46" s="25"/>
      <c r="AE46" s="26"/>
    </row>
    <row r="47" spans="1:31">
      <c r="W47">
        <v>100</v>
      </c>
      <c r="X47">
        <v>10</v>
      </c>
      <c r="Y47">
        <f t="shared" si="16"/>
        <v>1185</v>
      </c>
      <c r="Z47" s="3">
        <f t="shared" si="15"/>
        <v>194159.87415481158</v>
      </c>
      <c r="AA47" s="3">
        <f t="shared" si="1"/>
        <v>83386.178656907548</v>
      </c>
      <c r="AD47" s="25"/>
      <c r="AE47" s="26"/>
    </row>
    <row r="48" spans="1:31">
      <c r="W48">
        <v>100</v>
      </c>
      <c r="X48">
        <v>11</v>
      </c>
      <c r="Y48">
        <f t="shared" si="16"/>
        <v>1185</v>
      </c>
      <c r="Z48" s="3">
        <f t="shared" si="15"/>
        <v>197652.72939090905</v>
      </c>
      <c r="AA48" s="3">
        <f t="shared" si="1"/>
        <v>86058.232176289064</v>
      </c>
      <c r="AD48" s="25"/>
      <c r="AE48" s="26"/>
    </row>
    <row r="49" spans="1:31">
      <c r="W49">
        <v>100</v>
      </c>
      <c r="X49">
        <v>12</v>
      </c>
      <c r="Y49">
        <f t="shared" si="16"/>
        <v>1185</v>
      </c>
      <c r="Z49" s="3">
        <f t="shared" si="15"/>
        <v>201208.41963734757</v>
      </c>
      <c r="AA49" s="3">
        <f t="shared" si="1"/>
        <v>88777.937316766227</v>
      </c>
      <c r="AD49" s="25"/>
      <c r="AE49" s="26"/>
    </row>
    <row r="50" spans="1:31">
      <c r="AD50" s="25"/>
      <c r="AE50" s="26"/>
    </row>
    <row r="51" spans="1:31">
      <c r="AD51" s="25"/>
      <c r="AE51" s="26"/>
    </row>
    <row r="52" spans="1:31">
      <c r="AD52" s="25"/>
      <c r="AE52" s="26"/>
    </row>
    <row r="53" spans="1:31">
      <c r="AD53" s="25"/>
      <c r="AE53" s="26"/>
    </row>
    <row r="54" spans="1:31">
      <c r="AD54" s="25"/>
      <c r="AE54" s="26"/>
    </row>
    <row r="55" spans="1:31">
      <c r="AD55" s="25"/>
      <c r="AE55" s="26"/>
    </row>
    <row r="56" spans="1:31">
      <c r="AD56" s="25"/>
      <c r="AE56" s="26"/>
    </row>
    <row r="57" spans="1:31">
      <c r="AD57" s="25"/>
      <c r="AE57" s="26"/>
    </row>
    <row r="58" spans="1:31">
      <c r="AD58" s="25"/>
      <c r="AE58" s="26"/>
    </row>
    <row r="59" spans="1:31">
      <c r="AD59" s="25"/>
      <c r="AE59" s="26"/>
    </row>
    <row r="60" spans="1:31">
      <c r="AD60" s="25"/>
      <c r="AE60" s="26"/>
    </row>
    <row r="61" spans="1:31">
      <c r="AD61" s="25"/>
      <c r="AE61" s="26"/>
    </row>
    <row r="62" spans="1:31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6"/>
      <c r="S62" s="26"/>
      <c r="T62" s="26"/>
      <c r="AD62" s="25"/>
      <c r="AE62" s="26"/>
    </row>
    <row r="63" spans="1:31">
      <c r="AD63" s="25"/>
      <c r="AE63" s="26"/>
    </row>
    <row r="64" spans="1:31">
      <c r="AD64" s="25"/>
      <c r="AE64" s="26"/>
    </row>
    <row r="65" spans="19:31">
      <c r="S65" t="s">
        <v>25</v>
      </c>
      <c r="AD65" s="25"/>
      <c r="AE65" s="26"/>
    </row>
    <row r="66" spans="19:31">
      <c r="T66" t="s">
        <v>25</v>
      </c>
      <c r="AD66" s="25"/>
      <c r="AE66" s="26"/>
    </row>
    <row r="67" spans="19:31">
      <c r="AD67" s="25"/>
      <c r="AE67" s="26"/>
    </row>
    <row r="68" spans="19:31">
      <c r="AD68" s="25"/>
      <c r="AE68" s="26"/>
    </row>
    <row r="69" spans="19:31">
      <c r="AD69" s="25"/>
      <c r="AE69" s="26"/>
    </row>
    <row r="70" spans="19:31">
      <c r="AD70" s="25"/>
      <c r="AE70" s="26"/>
    </row>
    <row r="71" spans="19:31">
      <c r="AD71" s="25"/>
      <c r="AE71" s="26"/>
    </row>
    <row r="72" spans="19:31">
      <c r="AD72" s="25"/>
      <c r="AE72" s="26"/>
    </row>
    <row r="73" spans="19:31">
      <c r="AD73" s="25"/>
      <c r="AE73" s="26"/>
    </row>
    <row r="74" spans="19:31">
      <c r="AD74" s="25"/>
      <c r="AE74" s="26"/>
    </row>
    <row r="75" spans="19:31">
      <c r="AD75" s="25"/>
      <c r="AE75" s="26"/>
    </row>
    <row r="76" spans="19:31">
      <c r="AD76" s="25"/>
      <c r="AE76" s="26"/>
    </row>
    <row r="77" spans="19:31">
      <c r="AD77" s="25"/>
      <c r="AE77" s="26"/>
    </row>
    <row r="78" spans="19:31">
      <c r="AD78" s="25"/>
      <c r="AE78" s="26"/>
    </row>
    <row r="79" spans="19:31">
      <c r="AD79" s="25"/>
      <c r="AE79" s="26"/>
    </row>
    <row r="80" spans="19:31">
      <c r="AD80" s="25"/>
      <c r="AE80" s="26"/>
    </row>
    <row r="81" spans="30:31">
      <c r="AD81" s="25"/>
      <c r="AE81" s="26"/>
    </row>
    <row r="82" spans="30:31">
      <c r="AD82" s="25"/>
      <c r="AE82" s="26"/>
    </row>
    <row r="83" spans="30:31">
      <c r="AD83" s="25"/>
      <c r="AE83" s="26"/>
    </row>
    <row r="84" spans="30:31">
      <c r="AD84" s="25"/>
      <c r="AE84" s="26"/>
    </row>
    <row r="85" spans="30:31">
      <c r="AD85" s="25"/>
      <c r="AE85" s="26"/>
    </row>
    <row r="86" spans="30:31">
      <c r="AD86" s="25"/>
      <c r="AE86" s="26"/>
    </row>
    <row r="87" spans="30:31">
      <c r="AD87" s="25"/>
      <c r="AE87" s="26"/>
    </row>
    <row r="88" spans="30:31">
      <c r="AD88" s="25"/>
      <c r="AE88" s="26"/>
    </row>
    <row r="89" spans="30:31">
      <c r="AD89" s="25"/>
      <c r="AE89" s="26"/>
    </row>
    <row r="90" spans="30:31">
      <c r="AD90" s="25"/>
      <c r="AE90" s="26"/>
    </row>
    <row r="91" spans="30:31">
      <c r="AD91" s="25"/>
      <c r="AE91" s="26"/>
    </row>
    <row r="92" spans="30:31">
      <c r="AD92" s="25"/>
      <c r="AE92" s="26"/>
    </row>
    <row r="93" spans="30:31">
      <c r="AD93" s="25"/>
      <c r="AE93" s="26"/>
    </row>
    <row r="94" spans="30:31">
      <c r="AD94" s="25"/>
      <c r="AE94" s="26"/>
    </row>
    <row r="95" spans="30:31">
      <c r="AD95" s="25"/>
      <c r="AE95" s="26"/>
    </row>
    <row r="96" spans="30:31">
      <c r="AD96" s="25"/>
      <c r="AE96" s="26"/>
    </row>
    <row r="97" spans="30:31">
      <c r="AD97" s="25"/>
      <c r="AE97" s="26"/>
    </row>
    <row r="98" spans="30:31">
      <c r="AD98" s="25"/>
      <c r="AE98" s="26"/>
    </row>
    <row r="99" spans="30:31">
      <c r="AD99" s="25"/>
      <c r="AE99" s="26"/>
    </row>
    <row r="100" spans="30:31">
      <c r="AD100" s="25"/>
      <c r="AE100" s="26"/>
    </row>
    <row r="101" spans="30:31">
      <c r="AD101" s="25"/>
      <c r="AE101" s="26"/>
    </row>
    <row r="102" spans="30:31">
      <c r="AD102" s="25"/>
      <c r="AE102" s="26"/>
    </row>
    <row r="103" spans="30:31">
      <c r="AD103" s="25"/>
      <c r="AE103" s="26"/>
    </row>
    <row r="104" spans="30:31">
      <c r="AD104" s="25"/>
      <c r="AE104" s="26"/>
    </row>
    <row r="105" spans="30:31">
      <c r="AD105" s="25"/>
      <c r="AE105" s="26"/>
    </row>
    <row r="106" spans="30:31">
      <c r="AD106" s="25"/>
      <c r="AE106" s="26"/>
    </row>
    <row r="107" spans="30:31">
      <c r="AD107" s="25"/>
      <c r="AE107" s="26"/>
    </row>
    <row r="108" spans="30:31">
      <c r="AD108" s="25"/>
      <c r="AE108" s="26"/>
    </row>
    <row r="109" spans="30:31">
      <c r="AD109" s="25"/>
      <c r="AE109" s="26"/>
    </row>
    <row r="110" spans="30:31">
      <c r="AD110" s="25"/>
      <c r="AE110" s="26"/>
    </row>
    <row r="111" spans="30:31">
      <c r="AD111" s="25"/>
      <c r="AE111" s="26"/>
    </row>
    <row r="112" spans="30:31">
      <c r="AD112" s="25"/>
      <c r="AE112" s="26"/>
    </row>
    <row r="113" spans="30:31">
      <c r="AD113" s="25"/>
      <c r="AE113" s="26"/>
    </row>
    <row r="114" spans="30:31">
      <c r="AD114" s="25"/>
      <c r="AE114" s="26"/>
    </row>
    <row r="115" spans="30:31">
      <c r="AD115" s="25"/>
      <c r="AE115" s="26"/>
    </row>
    <row r="116" spans="30:31">
      <c r="AD116" s="25"/>
      <c r="AE116" s="26"/>
    </row>
    <row r="117" spans="30:31">
      <c r="AD117" s="25"/>
      <c r="AE117" s="26"/>
    </row>
    <row r="118" spans="30:31">
      <c r="AD118" s="25"/>
      <c r="AE118" s="26"/>
    </row>
    <row r="119" spans="30:31">
      <c r="AD119" s="25"/>
      <c r="AE119" s="26"/>
    </row>
    <row r="120" spans="30:31">
      <c r="AD120" s="25"/>
      <c r="AE120" s="26"/>
    </row>
    <row r="121" spans="30:31">
      <c r="AD121" s="25"/>
      <c r="AE121" s="26"/>
    </row>
    <row r="122" spans="30:31">
      <c r="AD122" s="25"/>
      <c r="AE122" s="26"/>
    </row>
    <row r="123" spans="30:31">
      <c r="AD123" s="25"/>
      <c r="AE123" s="26"/>
    </row>
    <row r="124" spans="30:31">
      <c r="AD124" s="25"/>
      <c r="AE124" s="26"/>
    </row>
    <row r="125" spans="30:31">
      <c r="AD125" s="25"/>
      <c r="AE125" s="26"/>
    </row>
    <row r="126" spans="30:31">
      <c r="AD126" s="25"/>
      <c r="AE126" s="26"/>
    </row>
    <row r="127" spans="30:31">
      <c r="AD127" s="25"/>
      <c r="AE127" s="26"/>
    </row>
    <row r="128" spans="30:31">
      <c r="AD128" s="25"/>
      <c r="AE128" s="26"/>
    </row>
    <row r="129" spans="30:31">
      <c r="AD129" s="25"/>
      <c r="AE129" s="26"/>
    </row>
    <row r="130" spans="30:31">
      <c r="AD130" s="25"/>
      <c r="AE130" s="26"/>
    </row>
    <row r="131" spans="30:31">
      <c r="AD131" s="25"/>
      <c r="AE131" s="26"/>
    </row>
    <row r="132" spans="30:31">
      <c r="AD132" s="25"/>
      <c r="AE132" s="26"/>
    </row>
    <row r="133" spans="30:31">
      <c r="AD133" s="25"/>
      <c r="AE133" s="26"/>
    </row>
    <row r="134" spans="30:31">
      <c r="AD134" s="25"/>
      <c r="AE134" s="26"/>
    </row>
    <row r="135" spans="30:31">
      <c r="AD135" s="25"/>
      <c r="AE135" s="26"/>
    </row>
    <row r="136" spans="30:31">
      <c r="AD136" s="25"/>
      <c r="AE136" s="26"/>
    </row>
    <row r="137" spans="30:31">
      <c r="AD137" s="25"/>
      <c r="AE137" s="26"/>
    </row>
    <row r="138" spans="30:31">
      <c r="AD138" s="25"/>
      <c r="AE138" s="26"/>
    </row>
    <row r="139" spans="30:31">
      <c r="AD139" s="25"/>
      <c r="AE139" s="26"/>
    </row>
    <row r="140" spans="30:31">
      <c r="AD140" s="25"/>
      <c r="AE140" s="26"/>
    </row>
    <row r="141" spans="30:31">
      <c r="AD141" s="25"/>
      <c r="AE141" s="26"/>
    </row>
    <row r="142" spans="30:31">
      <c r="AD142" s="25"/>
      <c r="AE142" s="26"/>
    </row>
    <row r="143" spans="30:31">
      <c r="AD143" s="25"/>
      <c r="AE143" s="26"/>
    </row>
    <row r="144" spans="30:31">
      <c r="AD144" s="25"/>
      <c r="AE144" s="26"/>
    </row>
    <row r="145" spans="30:31">
      <c r="AD145" s="25"/>
      <c r="AE145" s="26"/>
    </row>
    <row r="146" spans="30:31">
      <c r="AD146" s="25"/>
      <c r="AE146" s="26"/>
    </row>
    <row r="147" spans="30:31">
      <c r="AD147" s="25"/>
      <c r="AE147" s="26"/>
    </row>
    <row r="148" spans="30:31">
      <c r="AD148" s="25"/>
      <c r="AE148" s="26"/>
    </row>
    <row r="149" spans="30:31">
      <c r="AD149" s="25"/>
      <c r="AE149" s="26"/>
    </row>
    <row r="150" spans="30:31">
      <c r="AD150" s="25"/>
      <c r="AE150" s="26"/>
    </row>
    <row r="151" spans="30:31">
      <c r="AD151" s="25"/>
      <c r="AE151" s="26"/>
    </row>
    <row r="152" spans="30:31">
      <c r="AD152" s="25"/>
      <c r="AE152" s="26"/>
    </row>
    <row r="153" spans="30:31">
      <c r="AD153" s="25"/>
      <c r="AE153" s="26"/>
    </row>
    <row r="154" spans="30:31">
      <c r="AD154" s="25"/>
      <c r="AE154" s="26"/>
    </row>
    <row r="155" spans="30:31">
      <c r="AD155" s="25"/>
      <c r="AE155" s="26"/>
    </row>
    <row r="156" spans="30:31">
      <c r="AD156" s="25"/>
      <c r="AE156" s="26"/>
    </row>
    <row r="157" spans="30:31">
      <c r="AD157" s="25"/>
      <c r="AE157" s="26"/>
    </row>
    <row r="158" spans="30:31">
      <c r="AD158" s="25"/>
      <c r="AE158" s="26"/>
    </row>
    <row r="159" spans="30:31">
      <c r="AD159" s="25"/>
      <c r="AE159" s="26"/>
    </row>
    <row r="160" spans="30:31">
      <c r="AD160" s="25"/>
      <c r="AE160" s="26"/>
    </row>
    <row r="161" spans="30:31">
      <c r="AD161" s="25"/>
      <c r="AE161" s="26"/>
    </row>
    <row r="162" spans="30:31">
      <c r="AD162" s="25"/>
      <c r="AE162" s="26"/>
    </row>
    <row r="163" spans="30:31">
      <c r="AD163" s="25"/>
      <c r="AE163" s="26"/>
    </row>
    <row r="164" spans="30:31">
      <c r="AD164" s="25"/>
      <c r="AE164" s="26"/>
    </row>
    <row r="165" spans="30:31">
      <c r="AD165" s="25"/>
      <c r="AE165" s="26"/>
    </row>
    <row r="166" spans="30:31">
      <c r="AD166" s="25"/>
      <c r="AE166" s="26"/>
    </row>
    <row r="167" spans="30:31">
      <c r="AD167" s="25"/>
      <c r="AE167" s="26"/>
    </row>
    <row r="168" spans="30:31">
      <c r="AD168" s="25"/>
      <c r="AE168" s="26"/>
    </row>
    <row r="169" spans="30:31">
      <c r="AD169" s="25"/>
      <c r="AE169" s="26"/>
    </row>
    <row r="170" spans="30:31">
      <c r="AD170" s="25"/>
      <c r="AE170" s="26"/>
    </row>
    <row r="171" spans="30:31">
      <c r="AD171" s="25"/>
      <c r="AE171" s="26"/>
    </row>
    <row r="172" spans="30:31">
      <c r="AD172" s="25"/>
      <c r="AE172" s="26"/>
    </row>
    <row r="173" spans="30:31">
      <c r="AD173" s="25"/>
      <c r="AE173" s="26"/>
    </row>
    <row r="174" spans="30:31">
      <c r="AD174" s="25"/>
      <c r="AE174" s="26"/>
    </row>
    <row r="175" spans="30:31">
      <c r="AD175" s="25"/>
      <c r="AE175" s="26"/>
    </row>
    <row r="176" spans="30:31">
      <c r="AD176" s="25"/>
      <c r="AE176" s="26"/>
    </row>
    <row r="177" spans="30:31">
      <c r="AD177" s="25"/>
      <c r="AE177" s="26"/>
    </row>
    <row r="178" spans="30:31">
      <c r="AD178" s="25"/>
      <c r="AE178" s="26"/>
    </row>
    <row r="179" spans="30:31">
      <c r="AD179" s="25"/>
      <c r="AE179" s="26"/>
    </row>
    <row r="180" spans="30:31">
      <c r="AD180" s="25"/>
      <c r="AE180" s="26"/>
    </row>
    <row r="181" spans="30:31">
      <c r="AD181" s="25"/>
      <c r="AE181" s="26"/>
    </row>
    <row r="182" spans="30:31">
      <c r="AD182" s="25"/>
      <c r="AE182" s="26"/>
    </row>
    <row r="183" spans="30:31">
      <c r="AD183" s="25"/>
      <c r="AE183" s="26"/>
    </row>
    <row r="184" spans="30:31">
      <c r="AD184" s="25"/>
      <c r="AE184" s="26"/>
    </row>
    <row r="185" spans="30:31">
      <c r="AD185" s="25"/>
      <c r="AE185" s="26"/>
    </row>
    <row r="186" spans="30:31">
      <c r="AD186" s="25"/>
      <c r="AE186" s="26"/>
    </row>
    <row r="187" spans="30:31">
      <c r="AD187" s="25"/>
      <c r="AE187" s="26"/>
    </row>
    <row r="188" spans="30:31">
      <c r="AD188" s="25"/>
      <c r="AE188" s="26"/>
    </row>
    <row r="189" spans="30:31">
      <c r="AD189" s="25"/>
      <c r="AE189" s="26"/>
    </row>
    <row r="190" spans="30:31">
      <c r="AD190" s="25"/>
      <c r="AE190" s="26"/>
    </row>
    <row r="191" spans="30:31">
      <c r="AD191" s="25"/>
      <c r="AE191" s="26"/>
    </row>
    <row r="192" spans="30:31">
      <c r="AD192" s="25"/>
      <c r="AE192" s="26"/>
    </row>
    <row r="193" spans="30:32">
      <c r="AD193" s="25"/>
      <c r="AE193" s="26"/>
    </row>
    <row r="194" spans="30:32">
      <c r="AD194" s="25"/>
      <c r="AE194" s="26"/>
    </row>
    <row r="195" spans="30:32">
      <c r="AD195" s="25"/>
      <c r="AE195" s="26"/>
    </row>
    <row r="196" spans="30:32">
      <c r="AD196" s="25"/>
      <c r="AE196" s="26"/>
    </row>
    <row r="197" spans="30:32">
      <c r="AD197" s="25"/>
      <c r="AE197" s="26"/>
    </row>
    <row r="198" spans="30:32">
      <c r="AD198" s="25"/>
      <c r="AE198" s="26"/>
    </row>
    <row r="199" spans="30:32">
      <c r="AD199" s="25"/>
      <c r="AE199" s="26"/>
    </row>
    <row r="200" spans="30:32">
      <c r="AD200" s="25"/>
      <c r="AE200" s="26"/>
    </row>
    <row r="201" spans="30:32">
      <c r="AD201" s="25"/>
      <c r="AE201" s="26"/>
    </row>
    <row r="202" spans="30:32">
      <c r="AD202" s="25"/>
      <c r="AE202" s="26"/>
    </row>
    <row r="203" spans="30:32">
      <c r="AD203" s="25"/>
      <c r="AE203" s="26"/>
    </row>
    <row r="204" spans="30:32">
      <c r="AD204" s="25"/>
      <c r="AE204" s="26"/>
    </row>
    <row r="205" spans="30:32">
      <c r="AE205" s="25"/>
      <c r="AF205" s="26"/>
    </row>
    <row r="206" spans="30:32">
      <c r="AE206" s="25"/>
      <c r="AF206" s="26"/>
    </row>
    <row r="207" spans="30:32">
      <c r="AE207" s="25"/>
      <c r="AF207" s="26"/>
    </row>
    <row r="208" spans="30:32">
      <c r="AE208" s="25"/>
      <c r="AF208" s="26"/>
    </row>
    <row r="209" spans="31:32">
      <c r="AE209" s="25"/>
      <c r="AF209" s="26"/>
    </row>
    <row r="210" spans="31:32">
      <c r="AE210" s="25"/>
      <c r="AF210" s="26"/>
    </row>
    <row r="211" spans="31:32">
      <c r="AE211" s="25"/>
      <c r="AF211" s="26"/>
    </row>
    <row r="212" spans="31:32">
      <c r="AE212" s="25"/>
      <c r="AF212" s="26"/>
    </row>
    <row r="213" spans="31:32">
      <c r="AE213" s="25"/>
      <c r="AF213" s="26"/>
    </row>
    <row r="214" spans="31:32">
      <c r="AE214" s="25"/>
      <c r="AF214" s="26"/>
    </row>
    <row r="215" spans="31:32">
      <c r="AE215" s="25"/>
      <c r="AF215" s="26"/>
    </row>
    <row r="216" spans="31:32">
      <c r="AE216" s="25"/>
      <c r="AF216" s="26"/>
    </row>
    <row r="217" spans="31:32">
      <c r="AE217" s="25"/>
      <c r="AF217" s="26"/>
    </row>
    <row r="218" spans="31:32">
      <c r="AE218" s="25"/>
      <c r="AF218" s="26"/>
    </row>
    <row r="219" spans="31:32">
      <c r="AE219" s="25"/>
      <c r="AF219" s="26"/>
    </row>
    <row r="220" spans="31:32">
      <c r="AE220" s="25"/>
      <c r="AF220" s="26"/>
    </row>
    <row r="221" spans="31:32">
      <c r="AE221" s="25"/>
      <c r="AF221" s="26"/>
    </row>
    <row r="222" spans="31:32">
      <c r="AE222" s="25"/>
      <c r="AF222" s="26"/>
    </row>
    <row r="223" spans="31:32">
      <c r="AE223" s="25"/>
      <c r="AF223" s="26"/>
    </row>
    <row r="224" spans="31:32">
      <c r="AE224" s="25"/>
      <c r="AF224" s="26"/>
    </row>
    <row r="225" spans="31:32">
      <c r="AE225" s="25"/>
      <c r="AF225" s="26"/>
    </row>
    <row r="226" spans="31:32">
      <c r="AE226" s="25"/>
      <c r="AF226" s="26"/>
    </row>
    <row r="227" spans="31:32">
      <c r="AE227" s="25"/>
      <c r="AF227" s="26"/>
    </row>
    <row r="228" spans="31:32">
      <c r="AE228" s="25"/>
      <c r="AF228" s="26"/>
    </row>
    <row r="229" spans="31:32">
      <c r="AE229" s="25"/>
      <c r="AF229" s="26"/>
    </row>
    <row r="230" spans="31:32">
      <c r="AE230" s="25"/>
      <c r="AF230" s="26"/>
    </row>
    <row r="231" spans="31:32">
      <c r="AE231" s="25"/>
      <c r="AF231" s="26"/>
    </row>
    <row r="232" spans="31:32">
      <c r="AE232" s="25"/>
      <c r="AF232" s="26"/>
    </row>
    <row r="233" spans="31:32">
      <c r="AE233" s="25"/>
      <c r="AF233" s="26"/>
    </row>
    <row r="234" spans="31:32">
      <c r="AE234" s="25"/>
      <c r="AF234" s="26"/>
    </row>
    <row r="235" spans="31:32">
      <c r="AE235" s="25"/>
      <c r="AF235" s="26"/>
    </row>
    <row r="236" spans="31:32">
      <c r="AE236" s="25"/>
      <c r="AF236" s="26"/>
    </row>
    <row r="237" spans="31:32">
      <c r="AE237" s="25"/>
      <c r="AF237" s="26"/>
    </row>
    <row r="238" spans="31:32">
      <c r="AE238" s="25"/>
      <c r="AF238" s="26"/>
    </row>
    <row r="239" spans="31:32">
      <c r="AE239" s="25"/>
      <c r="AF239" s="26"/>
    </row>
    <row r="240" spans="31:32">
      <c r="AE240" s="25"/>
      <c r="AF240" s="26"/>
    </row>
    <row r="241" spans="31:32">
      <c r="AE241" s="25"/>
      <c r="AF241" s="26"/>
    </row>
    <row r="242" spans="31:32">
      <c r="AE242" s="25"/>
      <c r="AF242" s="26"/>
    </row>
    <row r="243" spans="31:32">
      <c r="AE243" s="25"/>
      <c r="AF243" s="26"/>
    </row>
    <row r="244" spans="31:32">
      <c r="AE244" s="25"/>
      <c r="AF244" s="26"/>
    </row>
    <row r="245" spans="31:32">
      <c r="AE245" s="25"/>
      <c r="AF245" s="26"/>
    </row>
    <row r="246" spans="31:32">
      <c r="AE246" s="25"/>
      <c r="AF246" s="26"/>
    </row>
    <row r="247" spans="31:32">
      <c r="AE247" s="25"/>
      <c r="AF247" s="26"/>
    </row>
    <row r="248" spans="31:32">
      <c r="AE248" s="25"/>
      <c r="AF248" s="26"/>
    </row>
    <row r="249" spans="31:32">
      <c r="AE249" s="25"/>
      <c r="AF249" s="26"/>
    </row>
    <row r="250" spans="31:32">
      <c r="AE250" s="25"/>
      <c r="AF250" s="26"/>
    </row>
    <row r="251" spans="31:32">
      <c r="AE251" s="25"/>
      <c r="AF251" s="26"/>
    </row>
    <row r="252" spans="31:32">
      <c r="AE252" s="25"/>
      <c r="AF252" s="26"/>
    </row>
    <row r="253" spans="31:32">
      <c r="AE253" s="25"/>
      <c r="AF253" s="26"/>
    </row>
    <row r="254" spans="31:32">
      <c r="AE254" s="25"/>
      <c r="AF254" s="26"/>
    </row>
    <row r="255" spans="31:32">
      <c r="AE255" s="25"/>
      <c r="AF255" s="26"/>
    </row>
    <row r="256" spans="31:32">
      <c r="AE256" s="25"/>
      <c r="AF256" s="26"/>
    </row>
    <row r="257" spans="31:32">
      <c r="AE257" s="25"/>
      <c r="AF257" s="26"/>
    </row>
    <row r="258" spans="31:32">
      <c r="AE258" s="25"/>
      <c r="AF258" s="26"/>
    </row>
    <row r="259" spans="31:32">
      <c r="AE259" s="25"/>
      <c r="AF259" s="26"/>
    </row>
    <row r="260" spans="31:32">
      <c r="AE260" s="25"/>
      <c r="AF260" s="26"/>
    </row>
    <row r="261" spans="31:32">
      <c r="AE261" s="25"/>
      <c r="AF261" s="26"/>
    </row>
    <row r="262" spans="31:32">
      <c r="AE262" s="25"/>
      <c r="AF262" s="26"/>
    </row>
    <row r="263" spans="31:32">
      <c r="AE263" s="25"/>
      <c r="AF263" s="26"/>
    </row>
    <row r="264" spans="31:32">
      <c r="AE264" s="25"/>
      <c r="AF264" s="26"/>
    </row>
    <row r="265" spans="31:32">
      <c r="AE265" s="25"/>
      <c r="AF265" s="26"/>
    </row>
    <row r="266" spans="31:32">
      <c r="AE266" s="25"/>
      <c r="AF266" s="26"/>
    </row>
    <row r="267" spans="31:32">
      <c r="AE267" s="25"/>
      <c r="AF267" s="26"/>
    </row>
    <row r="268" spans="31:32">
      <c r="AE268" s="25"/>
      <c r="AF268" s="26"/>
    </row>
    <row r="269" spans="31:32">
      <c r="AE269" s="25"/>
      <c r="AF269" s="26"/>
    </row>
    <row r="270" spans="31:32">
      <c r="AE270" s="25"/>
      <c r="AF270" s="26"/>
    </row>
    <row r="271" spans="31:32">
      <c r="AE271" s="25"/>
      <c r="AF271" s="26"/>
    </row>
    <row r="272" spans="31:32">
      <c r="AE272" s="25"/>
      <c r="AF272" s="26"/>
    </row>
    <row r="273" spans="31:32">
      <c r="AE273" s="25"/>
      <c r="AF273" s="26"/>
    </row>
    <row r="274" spans="31:32">
      <c r="AE274" s="25"/>
      <c r="AF274" s="26"/>
    </row>
    <row r="275" spans="31:32">
      <c r="AE275" s="25"/>
      <c r="AF275" s="26"/>
    </row>
    <row r="276" spans="31:32">
      <c r="AE276" s="25"/>
      <c r="AF276" s="26"/>
    </row>
    <row r="277" spans="31:32">
      <c r="AE277" s="25"/>
      <c r="AF277" s="26"/>
    </row>
    <row r="278" spans="31:32">
      <c r="AE278" s="25"/>
      <c r="AF278" s="26"/>
    </row>
    <row r="279" spans="31:32">
      <c r="AE279" s="25"/>
      <c r="AF279" s="26"/>
    </row>
    <row r="280" spans="31:32">
      <c r="AE280" s="25"/>
      <c r="AF280" s="26"/>
    </row>
    <row r="281" spans="31:32">
      <c r="AE281" s="25"/>
      <c r="AF281" s="26"/>
    </row>
    <row r="282" spans="31:32">
      <c r="AE282" s="25"/>
      <c r="AF282" s="26"/>
    </row>
    <row r="283" spans="31:32">
      <c r="AE283" s="25"/>
      <c r="AF283" s="26"/>
    </row>
    <row r="284" spans="31:32">
      <c r="AE284" s="25"/>
      <c r="AF284" s="26"/>
    </row>
    <row r="285" spans="31:32">
      <c r="AE285" s="25"/>
      <c r="AF285" s="26"/>
    </row>
    <row r="286" spans="31:32">
      <c r="AE286" s="25"/>
      <c r="AF286" s="26"/>
    </row>
    <row r="287" spans="31:32">
      <c r="AE287" s="25"/>
      <c r="AF287" s="26"/>
    </row>
    <row r="288" spans="31:32">
      <c r="AE288" s="25"/>
      <c r="AF288" s="26"/>
    </row>
    <row r="289" spans="31:32">
      <c r="AE289" s="25"/>
      <c r="AF289" s="26"/>
    </row>
    <row r="290" spans="31:32">
      <c r="AE290" s="25"/>
      <c r="AF290" s="26"/>
    </row>
    <row r="291" spans="31:32">
      <c r="AE291" s="25"/>
      <c r="AF291" s="26"/>
    </row>
    <row r="292" spans="31:32">
      <c r="AE292" s="25"/>
      <c r="AF292" s="26"/>
    </row>
    <row r="293" spans="31:32">
      <c r="AE293" s="25"/>
      <c r="AF293" s="26"/>
    </row>
    <row r="294" spans="31:32">
      <c r="AE294" s="25"/>
      <c r="AF294" s="26"/>
    </row>
    <row r="295" spans="31:32">
      <c r="AE295" s="25"/>
      <c r="AF295" s="26"/>
    </row>
    <row r="296" spans="31:32">
      <c r="AE296" s="25"/>
      <c r="AF296" s="26"/>
    </row>
    <row r="297" spans="31:32">
      <c r="AE297" s="25"/>
      <c r="AF297" s="26"/>
    </row>
    <row r="298" spans="31:32">
      <c r="AE298" s="25"/>
      <c r="AF298" s="26"/>
    </row>
    <row r="299" spans="31:32">
      <c r="AE299" s="25"/>
      <c r="AF299" s="26"/>
    </row>
    <row r="300" spans="31:32">
      <c r="AE300" s="25"/>
      <c r="AF300" s="26"/>
    </row>
    <row r="301" spans="31:32">
      <c r="AE301" s="25"/>
      <c r="AF301" s="26"/>
    </row>
    <row r="302" spans="31:32">
      <c r="AE302" s="25"/>
      <c r="AF302" s="26"/>
    </row>
    <row r="303" spans="31:32">
      <c r="AE303" s="25"/>
      <c r="AF303" s="26"/>
    </row>
    <row r="304" spans="31:32">
      <c r="AE304" s="25"/>
      <c r="AF304" s="26"/>
    </row>
    <row r="305" spans="31:32">
      <c r="AE305" s="25"/>
      <c r="AF305" s="26"/>
    </row>
    <row r="306" spans="31:32">
      <c r="AE306" s="25"/>
      <c r="AF306" s="26"/>
    </row>
    <row r="307" spans="31:32">
      <c r="AE307" s="25"/>
      <c r="AF307" s="26"/>
    </row>
    <row r="308" spans="31:32">
      <c r="AE308" s="25"/>
      <c r="AF308" s="26"/>
    </row>
    <row r="309" spans="31:32">
      <c r="AE309" s="25"/>
      <c r="AF309" s="26"/>
    </row>
    <row r="310" spans="31:32">
      <c r="AE310" s="25"/>
      <c r="AF310" s="26"/>
    </row>
    <row r="311" spans="31:32">
      <c r="AE311" s="25"/>
      <c r="AF311" s="26"/>
    </row>
    <row r="312" spans="31:32">
      <c r="AE312" s="25"/>
      <c r="AF312" s="26"/>
    </row>
    <row r="313" spans="31:32">
      <c r="AE313" s="25"/>
      <c r="AF313" s="26"/>
    </row>
    <row r="314" spans="31:32">
      <c r="AE314" s="25"/>
      <c r="AF314" s="26"/>
    </row>
    <row r="315" spans="31:32">
      <c r="AE315" s="25"/>
      <c r="AF315" s="26"/>
    </row>
    <row r="316" spans="31:32">
      <c r="AE316" s="25"/>
      <c r="AF316" s="26"/>
    </row>
    <row r="317" spans="31:32">
      <c r="AE317" s="25"/>
      <c r="AF317" s="26"/>
    </row>
    <row r="318" spans="31:32">
      <c r="AE318" s="25"/>
      <c r="AF318" s="26"/>
    </row>
    <row r="319" spans="31:32">
      <c r="AE319" s="25"/>
      <c r="AF319" s="26"/>
    </row>
    <row r="320" spans="31:32">
      <c r="AE320" s="25"/>
      <c r="AF320" s="26"/>
    </row>
    <row r="321" spans="31:32">
      <c r="AE321" s="25"/>
      <c r="AF321" s="26"/>
    </row>
    <row r="322" spans="31:32">
      <c r="AE322" s="25"/>
      <c r="AF322" s="26"/>
    </row>
    <row r="323" spans="31:32">
      <c r="AE323" s="25"/>
      <c r="AF323" s="26"/>
    </row>
    <row r="324" spans="31:32">
      <c r="AE324" s="25"/>
      <c r="AF324" s="26"/>
    </row>
    <row r="325" spans="31:32">
      <c r="AE325" s="25"/>
      <c r="AF325" s="26"/>
    </row>
    <row r="326" spans="31:32">
      <c r="AE326" s="25"/>
      <c r="AF326" s="26"/>
    </row>
    <row r="327" spans="31:32">
      <c r="AE327" s="25"/>
      <c r="AF327" s="26"/>
    </row>
    <row r="328" spans="31:32">
      <c r="AE328" s="25"/>
      <c r="AF328" s="26"/>
    </row>
    <row r="329" spans="31:32">
      <c r="AE329" s="25"/>
      <c r="AF329" s="26"/>
    </row>
    <row r="330" spans="31:32">
      <c r="AE330" s="25"/>
      <c r="AF330" s="26"/>
    </row>
    <row r="331" spans="31:32">
      <c r="AE331" s="25"/>
      <c r="AF331" s="26"/>
    </row>
    <row r="332" spans="31:32">
      <c r="AE332" s="25"/>
      <c r="AF332" s="26"/>
    </row>
    <row r="333" spans="31:32">
      <c r="AE333" s="25"/>
      <c r="AF333" s="26"/>
    </row>
    <row r="334" spans="31:32">
      <c r="AE334" s="25"/>
      <c r="AF334" s="26"/>
    </row>
    <row r="335" spans="31:32">
      <c r="AE335" s="25"/>
      <c r="AF335" s="26"/>
    </row>
    <row r="336" spans="31:32">
      <c r="AE336" s="25"/>
      <c r="AF336" s="26"/>
    </row>
    <row r="337" spans="31:32">
      <c r="AE337" s="25"/>
      <c r="AF337" s="26"/>
    </row>
    <row r="338" spans="31:32">
      <c r="AE338" s="25"/>
      <c r="AF338" s="26"/>
    </row>
    <row r="339" spans="31:32">
      <c r="AE339" s="25"/>
      <c r="AF339" s="26"/>
    </row>
    <row r="340" spans="31:32">
      <c r="AE340" s="25"/>
      <c r="AF340" s="26"/>
    </row>
    <row r="341" spans="31:32">
      <c r="AE341" s="25"/>
      <c r="AF341" s="26"/>
    </row>
    <row r="342" spans="31:32">
      <c r="AE342" s="25"/>
      <c r="AF342" s="26"/>
    </row>
    <row r="343" spans="31:32">
      <c r="AE343" s="25"/>
      <c r="AF343" s="26"/>
    </row>
    <row r="344" spans="31:32">
      <c r="AE344" s="25"/>
      <c r="AF344" s="26"/>
    </row>
    <row r="345" spans="31:32">
      <c r="AE345" s="25"/>
      <c r="AF345" s="26"/>
    </row>
    <row r="346" spans="31:32">
      <c r="AE346" s="25"/>
      <c r="AF346" s="26"/>
    </row>
    <row r="347" spans="31:32">
      <c r="AE347" s="25"/>
      <c r="AF347" s="26"/>
    </row>
    <row r="348" spans="31:32">
      <c r="AE348" s="25"/>
      <c r="AF348" s="26"/>
    </row>
    <row r="349" spans="31:32">
      <c r="AE349" s="25"/>
      <c r="AF349" s="26"/>
    </row>
    <row r="350" spans="31:32">
      <c r="AE350" s="25"/>
      <c r="AF350" s="26"/>
    </row>
    <row r="351" spans="31:32">
      <c r="AE351" s="25"/>
      <c r="AF351" s="26"/>
    </row>
    <row r="352" spans="31:32">
      <c r="AE352" s="25"/>
      <c r="AF352" s="26"/>
    </row>
    <row r="353" spans="31:32">
      <c r="AE353" s="25"/>
      <c r="AF353" s="26"/>
    </row>
    <row r="354" spans="31:32">
      <c r="AE354" s="25"/>
      <c r="AF354" s="26"/>
    </row>
    <row r="355" spans="31:32">
      <c r="AE355" s="25"/>
      <c r="AF355" s="26"/>
    </row>
    <row r="356" spans="31:32">
      <c r="AE356" s="25"/>
      <c r="AF356" s="26"/>
    </row>
    <row r="357" spans="31:32">
      <c r="AE357" s="25"/>
      <c r="AF357" s="26"/>
    </row>
    <row r="358" spans="31:32">
      <c r="AE358" s="25"/>
      <c r="AF358" s="26"/>
    </row>
    <row r="359" spans="31:32">
      <c r="AE359" s="25"/>
      <c r="AF359" s="26"/>
    </row>
    <row r="360" spans="31:32">
      <c r="AE360" s="25"/>
      <c r="AF360" s="26"/>
    </row>
    <row r="361" spans="31:32">
      <c r="AE361" s="25"/>
      <c r="AF361" s="26"/>
    </row>
    <row r="362" spans="31:32">
      <c r="AE362" s="25"/>
      <c r="AF362" s="26"/>
    </row>
    <row r="363" spans="31:32">
      <c r="AE363" s="25"/>
      <c r="AF363" s="26"/>
    </row>
    <row r="364" spans="31:32">
      <c r="AE364" s="25"/>
      <c r="AF364" s="26"/>
    </row>
    <row r="365" spans="31:32">
      <c r="AE365" s="25"/>
      <c r="AF365" s="26"/>
    </row>
    <row r="366" spans="31:32">
      <c r="AE366" s="25"/>
      <c r="AF366" s="26"/>
    </row>
    <row r="367" spans="31:32">
      <c r="AE367" s="25"/>
      <c r="AF367" s="26"/>
    </row>
    <row r="368" spans="31:32">
      <c r="AE368" s="25"/>
      <c r="AF368" s="26"/>
    </row>
    <row r="369" spans="31:32">
      <c r="AE369" s="25"/>
      <c r="AF369" s="26"/>
    </row>
    <row r="370" spans="31:32">
      <c r="AE370" s="25"/>
      <c r="AF370" s="26"/>
    </row>
    <row r="371" spans="31:32">
      <c r="AE371" s="25"/>
      <c r="AF371" s="26"/>
    </row>
    <row r="372" spans="31:32">
      <c r="AE372" s="25"/>
      <c r="AF372" s="26"/>
    </row>
    <row r="373" spans="31:32">
      <c r="AE373" s="25"/>
      <c r="AF373" s="26"/>
    </row>
    <row r="374" spans="31:32">
      <c r="AE374" s="25"/>
      <c r="AF374" s="26"/>
    </row>
    <row r="375" spans="31:32">
      <c r="AE375" s="25"/>
      <c r="AF375" s="26"/>
    </row>
    <row r="376" spans="31:32">
      <c r="AE376" s="25"/>
      <c r="AF376" s="25"/>
    </row>
    <row r="377" spans="31:32">
      <c r="AE377" s="25"/>
      <c r="AF377" s="25"/>
    </row>
    <row r="378" spans="31:32">
      <c r="AE378" s="25"/>
      <c r="AF378" s="25"/>
    </row>
    <row r="379" spans="31:32">
      <c r="AE379" s="25"/>
      <c r="AF379" s="25"/>
    </row>
    <row r="380" spans="31:32">
      <c r="AE380" s="25"/>
      <c r="AF380" s="25"/>
    </row>
    <row r="381" spans="31:32">
      <c r="AE381" s="25"/>
      <c r="AF381" s="25"/>
    </row>
    <row r="382" spans="31:32">
      <c r="AE382" s="25"/>
      <c r="AF382" s="25"/>
    </row>
    <row r="383" spans="31:32">
      <c r="AE383" s="25"/>
      <c r="AF383" s="25"/>
    </row>
    <row r="384" spans="31:32">
      <c r="AE384" s="25"/>
      <c r="AF384" s="25"/>
    </row>
    <row r="385" spans="31:32">
      <c r="AE385" s="25"/>
      <c r="AF385" s="25"/>
    </row>
    <row r="386" spans="31:32">
      <c r="AE386" s="25"/>
      <c r="AF386" s="25"/>
    </row>
    <row r="387" spans="31:32">
      <c r="AE387" s="25"/>
      <c r="AF387" s="25"/>
    </row>
    <row r="388" spans="31:32">
      <c r="AE388" s="25"/>
      <c r="AF388" s="25"/>
    </row>
    <row r="389" spans="31:32">
      <c r="AE389" s="25"/>
      <c r="AF389" s="25"/>
    </row>
    <row r="390" spans="31:32">
      <c r="AE390" s="25"/>
      <c r="AF390" s="25"/>
    </row>
    <row r="391" spans="31:32">
      <c r="AE391" s="25"/>
      <c r="AF391" s="25"/>
    </row>
    <row r="392" spans="31:32">
      <c r="AE392" s="25"/>
      <c r="AF392" s="25"/>
    </row>
    <row r="393" spans="31:32">
      <c r="AE393" s="25"/>
      <c r="AF393" s="25"/>
    </row>
    <row r="394" spans="31:32">
      <c r="AE394" s="25"/>
      <c r="AF394" s="25"/>
    </row>
    <row r="395" spans="31:32">
      <c r="AE395" s="25"/>
      <c r="AF395" s="25"/>
    </row>
    <row r="396" spans="31:32">
      <c r="AE396" s="25"/>
      <c r="AF396" s="25"/>
    </row>
    <row r="397" spans="31:32">
      <c r="AE397" s="25"/>
      <c r="AF397" s="25"/>
    </row>
    <row r="398" spans="31:32">
      <c r="AE398" s="25"/>
      <c r="AF398" s="25"/>
    </row>
    <row r="399" spans="31:32">
      <c r="AE399" s="25"/>
      <c r="AF399" s="25"/>
    </row>
    <row r="400" spans="31:32">
      <c r="AE400" s="25"/>
      <c r="AF400" s="25"/>
    </row>
    <row r="401" spans="31:32">
      <c r="AE401" s="25"/>
      <c r="AF401" s="25"/>
    </row>
    <row r="402" spans="31:32">
      <c r="AE402" s="25"/>
      <c r="AF402" s="25"/>
    </row>
    <row r="403" spans="31:32">
      <c r="AE403" s="25"/>
      <c r="AF403" s="25"/>
    </row>
    <row r="404" spans="31:32">
      <c r="AE404" s="25"/>
      <c r="AF404" s="25"/>
    </row>
    <row r="405" spans="31:32">
      <c r="AE405" s="25"/>
      <c r="AF405" s="25"/>
    </row>
    <row r="406" spans="31:32">
      <c r="AE406" s="25"/>
      <c r="AF406" s="25"/>
    </row>
    <row r="407" spans="31:32">
      <c r="AE407" s="25"/>
      <c r="AF407" s="25"/>
    </row>
    <row r="408" spans="31:32">
      <c r="AE408" s="25"/>
      <c r="AF408" s="25"/>
    </row>
    <row r="409" spans="31:32">
      <c r="AE409" s="25"/>
      <c r="AF409" s="25"/>
    </row>
    <row r="410" spans="31:32">
      <c r="AE410" s="25"/>
      <c r="AF410" s="25"/>
    </row>
    <row r="411" spans="31:32">
      <c r="AE411" s="25"/>
      <c r="AF411" s="25"/>
    </row>
    <row r="412" spans="31:32">
      <c r="AE412" s="25"/>
      <c r="AF412" s="25"/>
    </row>
    <row r="413" spans="31:32">
      <c r="AE413" s="25"/>
      <c r="AF413" s="25"/>
    </row>
    <row r="414" spans="31:32">
      <c r="AE414" s="25"/>
      <c r="AF414" s="25"/>
    </row>
    <row r="415" spans="31:32">
      <c r="AE415" s="25"/>
      <c r="AF415" s="25"/>
    </row>
    <row r="416" spans="31:32">
      <c r="AE416" s="25"/>
      <c r="AF416" s="25"/>
    </row>
    <row r="417" spans="31:32">
      <c r="AE417" s="25"/>
      <c r="AF417" s="25"/>
    </row>
    <row r="418" spans="31:32">
      <c r="AE418" s="25"/>
      <c r="AF418" s="25"/>
    </row>
    <row r="419" spans="31:32">
      <c r="AE419" s="25"/>
      <c r="AF419" s="25"/>
    </row>
    <row r="420" spans="31:32">
      <c r="AE420" s="25"/>
      <c r="AF420" s="25"/>
    </row>
    <row r="421" spans="31:32">
      <c r="AE421" s="25"/>
      <c r="AF421" s="25"/>
    </row>
    <row r="422" spans="31:32">
      <c r="AE422" s="25"/>
      <c r="AF422" s="25"/>
    </row>
    <row r="423" spans="31:32">
      <c r="AE423" s="25"/>
      <c r="AF423" s="25"/>
    </row>
    <row r="424" spans="31:32">
      <c r="AE424" s="25"/>
      <c r="AF424" s="25"/>
    </row>
    <row r="425" spans="31:32">
      <c r="AE425" s="25"/>
      <c r="AF425" s="25"/>
    </row>
    <row r="426" spans="31:32">
      <c r="AE426" s="25"/>
      <c r="AF426" s="25"/>
    </row>
    <row r="427" spans="31:32">
      <c r="AE427" s="25"/>
      <c r="AF427" s="25"/>
    </row>
    <row r="428" spans="31:32">
      <c r="AE428" s="25"/>
      <c r="AF428" s="25"/>
    </row>
    <row r="429" spans="31:32">
      <c r="AE429" s="25"/>
      <c r="AF429" s="25"/>
    </row>
    <row r="430" spans="31:32">
      <c r="AE430" s="25"/>
      <c r="AF430" s="25"/>
    </row>
    <row r="431" spans="31:32">
      <c r="AE431" s="25"/>
      <c r="AF431" s="25"/>
    </row>
    <row r="432" spans="31:32">
      <c r="AE432" s="25"/>
      <c r="AF432" s="25"/>
    </row>
    <row r="433" spans="31:32">
      <c r="AE433" s="25"/>
      <c r="AF433" s="25"/>
    </row>
    <row r="434" spans="31:32">
      <c r="AE434" s="25"/>
      <c r="AF434" s="25"/>
    </row>
    <row r="435" spans="31:32">
      <c r="AE435" s="25"/>
      <c r="AF435" s="25"/>
    </row>
    <row r="436" spans="31:32">
      <c r="AE436" s="25"/>
      <c r="AF436" s="25"/>
    </row>
    <row r="437" spans="31:32">
      <c r="AE437" s="25"/>
      <c r="AF437" s="25"/>
    </row>
    <row r="438" spans="31:32">
      <c r="AE438" s="25"/>
      <c r="AF438" s="25"/>
    </row>
    <row r="439" spans="31:32">
      <c r="AE439" s="25"/>
      <c r="AF439" s="25"/>
    </row>
    <row r="440" spans="31:32">
      <c r="AE440" s="25"/>
      <c r="AF440" s="25"/>
    </row>
    <row r="441" spans="31:32">
      <c r="AE441" s="25"/>
      <c r="AF441" s="25"/>
    </row>
    <row r="442" spans="31:32">
      <c r="AE442" s="25"/>
      <c r="AF442" s="25"/>
    </row>
    <row r="443" spans="31:32">
      <c r="AE443" s="25"/>
      <c r="AF443" s="25"/>
    </row>
    <row r="444" spans="31:32">
      <c r="AE444" s="25"/>
      <c r="AF444" s="25"/>
    </row>
    <row r="445" spans="31:32">
      <c r="AE445" s="25"/>
      <c r="AF445" s="25"/>
    </row>
    <row r="446" spans="31:32">
      <c r="AE446" s="25"/>
      <c r="AF446" s="25"/>
    </row>
    <row r="447" spans="31:32">
      <c r="AE447" s="25"/>
      <c r="AF447" s="25"/>
    </row>
    <row r="448" spans="31:32">
      <c r="AE448" s="25"/>
      <c r="AF448" s="25"/>
    </row>
    <row r="449" spans="31:32">
      <c r="AE449" s="25"/>
      <c r="AF449" s="25"/>
    </row>
    <row r="450" spans="31:32">
      <c r="AE450" s="25"/>
      <c r="AF450" s="25"/>
    </row>
    <row r="451" spans="31:32">
      <c r="AE451" s="25"/>
      <c r="AF451" s="25"/>
    </row>
    <row r="452" spans="31:32">
      <c r="AE452" s="25"/>
      <c r="AF452" s="25"/>
    </row>
    <row r="453" spans="31:32">
      <c r="AE453" s="25"/>
      <c r="AF453" s="25"/>
    </row>
    <row r="454" spans="31:32">
      <c r="AE454" s="25"/>
      <c r="AF454" s="25"/>
    </row>
    <row r="455" spans="31:32">
      <c r="AE455" s="25"/>
      <c r="AF455" s="25"/>
    </row>
    <row r="456" spans="31:32">
      <c r="AE456" s="25"/>
      <c r="AF456" s="25"/>
    </row>
    <row r="457" spans="31:32">
      <c r="AE457" s="25"/>
      <c r="AF457" s="25"/>
    </row>
    <row r="458" spans="31:32">
      <c r="AE458" s="25"/>
      <c r="AF458" s="25"/>
    </row>
    <row r="459" spans="31:32">
      <c r="AE459" s="25"/>
      <c r="AF459" s="25"/>
    </row>
    <row r="460" spans="31:32">
      <c r="AE460" s="25"/>
      <c r="AF460" s="25"/>
    </row>
    <row r="461" spans="31:32">
      <c r="AE461" s="25"/>
      <c r="AF461" s="25"/>
    </row>
    <row r="462" spans="31:32">
      <c r="AE462" s="25"/>
      <c r="AF462" s="25"/>
    </row>
    <row r="463" spans="31:32">
      <c r="AE463" s="25"/>
      <c r="AF463" s="25"/>
    </row>
    <row r="464" spans="31:32">
      <c r="AE464" s="25"/>
      <c r="AF464" s="25"/>
    </row>
    <row r="465" spans="31:32">
      <c r="AE465" s="25"/>
      <c r="AF465" s="25"/>
    </row>
    <row r="466" spans="31:32">
      <c r="AE466" s="25"/>
      <c r="AF466" s="25"/>
    </row>
    <row r="467" spans="31:32">
      <c r="AE467" s="25"/>
      <c r="AF467" s="25"/>
    </row>
    <row r="468" spans="31:32">
      <c r="AE468" s="25"/>
      <c r="AF468" s="25"/>
    </row>
    <row r="469" spans="31:32">
      <c r="AE469" s="25"/>
      <c r="AF469" s="25"/>
    </row>
    <row r="470" spans="31:32">
      <c r="AE470" s="25"/>
      <c r="AF470" s="25"/>
    </row>
    <row r="471" spans="31:32">
      <c r="AE471" s="25"/>
      <c r="AF471" s="25"/>
    </row>
    <row r="472" spans="31:32">
      <c r="AE472" s="25"/>
      <c r="AF472" s="25"/>
    </row>
    <row r="473" spans="31:32">
      <c r="AE473" s="25"/>
      <c r="AF473" s="25"/>
    </row>
    <row r="474" spans="31:32">
      <c r="AE474" s="25"/>
      <c r="AF474" s="25"/>
    </row>
    <row r="475" spans="31:32">
      <c r="AE475" s="25"/>
      <c r="AF475" s="25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7" sqref="A7"/>
    </sheetView>
  </sheetViews>
  <sheetFormatPr defaultRowHeight="15"/>
  <cols>
    <col min="1" max="1" width="102.7109375" bestFit="1" customWidth="1"/>
  </cols>
  <sheetData>
    <row r="1" spans="1:1">
      <c r="A1" t="s">
        <v>1073</v>
      </c>
    </row>
    <row r="2" spans="1:1">
      <c r="A2" t="s">
        <v>1074</v>
      </c>
    </row>
    <row r="3" spans="1:1">
      <c r="A3" t="s">
        <v>1075</v>
      </c>
    </row>
    <row r="4" spans="1:1">
      <c r="A4" t="s">
        <v>1076</v>
      </c>
    </row>
    <row r="5" spans="1:1">
      <c r="A5" t="s">
        <v>1077</v>
      </c>
    </row>
    <row r="6" spans="1:1">
      <c r="A6" t="s">
        <v>1120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77"/>
  <sheetViews>
    <sheetView topLeftCell="A16" workbookViewId="0">
      <selection activeCell="G46" sqref="G46"/>
    </sheetView>
  </sheetViews>
  <sheetFormatPr defaultRowHeight="15"/>
  <cols>
    <col min="6" max="6" width="13.7109375" bestFit="1" customWidth="1"/>
    <col min="7" max="7" width="25.140625" bestFit="1" customWidth="1"/>
    <col min="9" max="9" width="29.42578125" customWidth="1"/>
    <col min="10" max="10" width="12.42578125" bestFit="1" customWidth="1"/>
    <col min="15" max="15" width="12.140625" bestFit="1" customWidth="1"/>
    <col min="16" max="16" width="6" customWidth="1"/>
    <col min="19" max="19" width="16.140625" bestFit="1" customWidth="1"/>
    <col min="20" max="21" width="15.140625" bestFit="1" customWidth="1"/>
    <col min="22" max="22" width="19.42578125" bestFit="1" customWidth="1"/>
    <col min="23" max="23" width="15.5703125" bestFit="1" customWidth="1"/>
    <col min="24" max="26" width="17.85546875" bestFit="1" customWidth="1"/>
    <col min="28" max="28" width="14.140625" bestFit="1" customWidth="1"/>
    <col min="29" max="29" width="14.28515625" customWidth="1"/>
    <col min="30" max="30" width="16" customWidth="1"/>
    <col min="32" max="32" width="12.42578125" bestFit="1" customWidth="1"/>
    <col min="33" max="33" width="13.7109375" bestFit="1" customWidth="1"/>
    <col min="34" max="34" width="26.7109375" customWidth="1"/>
    <col min="35" max="35" width="13.7109375" customWidth="1"/>
    <col min="36" max="36" width="22" bestFit="1" customWidth="1"/>
    <col min="37" max="37" width="41.7109375" customWidth="1"/>
  </cols>
  <sheetData>
    <row r="1" spans="1:37">
      <c r="A1">
        <v>1400</v>
      </c>
      <c r="B1">
        <v>1400</v>
      </c>
      <c r="C1">
        <v>1400</v>
      </c>
      <c r="D1">
        <v>1400</v>
      </c>
      <c r="E1">
        <v>1400</v>
      </c>
      <c r="F1">
        <v>1400</v>
      </c>
      <c r="G1" t="s">
        <v>1093</v>
      </c>
      <c r="R1" s="11" t="s">
        <v>180</v>
      </c>
      <c r="S1" s="11" t="s">
        <v>267</v>
      </c>
      <c r="T1" s="11" t="s">
        <v>452</v>
      </c>
      <c r="U1" s="11" t="s">
        <v>752</v>
      </c>
      <c r="V1" s="11" t="s">
        <v>280</v>
      </c>
      <c r="W1" s="11" t="s">
        <v>1109</v>
      </c>
      <c r="X1" s="11" t="s">
        <v>35</v>
      </c>
      <c r="Y1" s="11" t="s">
        <v>37</v>
      </c>
      <c r="Z1" s="11" t="s">
        <v>484</v>
      </c>
      <c r="AH1" s="139" t="s">
        <v>1121</v>
      </c>
      <c r="AI1" s="139"/>
      <c r="AJ1" s="139"/>
      <c r="AK1" s="139"/>
    </row>
    <row r="2" spans="1:37">
      <c r="A2">
        <v>1300</v>
      </c>
      <c r="B2">
        <v>1300</v>
      </c>
      <c r="C2">
        <v>1300</v>
      </c>
      <c r="D2">
        <v>1300</v>
      </c>
      <c r="E2">
        <v>1300</v>
      </c>
      <c r="F2">
        <v>1300</v>
      </c>
      <c r="G2" t="s">
        <v>1093</v>
      </c>
      <c r="R2" s="11" t="s">
        <v>1108</v>
      </c>
      <c r="S2" s="84">
        <v>168000000</v>
      </c>
      <c r="T2" s="84">
        <v>91000000</v>
      </c>
      <c r="U2" s="84">
        <v>77000000</v>
      </c>
      <c r="V2" s="11">
        <v>17</v>
      </c>
      <c r="W2" s="11">
        <f>W3+V2</f>
        <v>17</v>
      </c>
      <c r="X2" s="84">
        <f>S2*W2</f>
        <v>2856000000</v>
      </c>
      <c r="Y2" s="84">
        <f>T2*W2</f>
        <v>1547000000</v>
      </c>
      <c r="Z2" s="84">
        <f>U2*W2</f>
        <v>1309000000</v>
      </c>
      <c r="AH2" s="139"/>
      <c r="AI2" s="139"/>
      <c r="AJ2" s="139"/>
      <c r="AK2" s="139"/>
    </row>
    <row r="3" spans="1:37">
      <c r="A3">
        <v>220</v>
      </c>
      <c r="B3">
        <v>320</v>
      </c>
      <c r="C3">
        <v>420</v>
      </c>
      <c r="D3">
        <v>520</v>
      </c>
      <c r="E3">
        <v>620</v>
      </c>
      <c r="F3">
        <v>720</v>
      </c>
      <c r="G3" t="s">
        <v>1094</v>
      </c>
      <c r="R3" s="11" t="s">
        <v>1110</v>
      </c>
      <c r="S3" s="84">
        <v>0</v>
      </c>
      <c r="T3" s="84">
        <v>0</v>
      </c>
      <c r="U3" s="84">
        <v>0</v>
      </c>
      <c r="V3" s="11">
        <v>0</v>
      </c>
      <c r="W3" s="11">
        <f t="shared" ref="W3:W9" si="0">W4+V3</f>
        <v>0</v>
      </c>
      <c r="X3" s="84"/>
      <c r="Y3" s="84"/>
      <c r="Z3" s="84"/>
      <c r="AH3" s="140" t="s">
        <v>1122</v>
      </c>
      <c r="AI3" s="141" t="s">
        <v>1123</v>
      </c>
      <c r="AJ3" s="140" t="s">
        <v>1124</v>
      </c>
      <c r="AK3" s="142" t="s">
        <v>1125</v>
      </c>
    </row>
    <row r="4" spans="1:37">
      <c r="R4" s="11"/>
      <c r="S4" s="84"/>
      <c r="T4" s="84"/>
      <c r="U4" s="84"/>
      <c r="V4" s="11"/>
      <c r="W4" s="11">
        <f t="shared" si="0"/>
        <v>0</v>
      </c>
      <c r="X4" s="84"/>
      <c r="Y4" s="84"/>
      <c r="Z4" s="84"/>
      <c r="AH4" s="140"/>
      <c r="AI4" s="141"/>
      <c r="AJ4" s="140"/>
      <c r="AK4" s="142"/>
    </row>
    <row r="5" spans="1:37" ht="30.75" customHeight="1">
      <c r="A5">
        <v>2000</v>
      </c>
      <c r="B5">
        <f>A5</f>
        <v>2000</v>
      </c>
      <c r="C5">
        <f t="shared" ref="C5:F5" si="1">B5</f>
        <v>2000</v>
      </c>
      <c r="D5">
        <f t="shared" si="1"/>
        <v>2000</v>
      </c>
      <c r="E5">
        <f t="shared" si="1"/>
        <v>2000</v>
      </c>
      <c r="F5">
        <f t="shared" si="1"/>
        <v>2000</v>
      </c>
      <c r="G5" t="s">
        <v>1095</v>
      </c>
      <c r="R5" s="11"/>
      <c r="S5" s="84"/>
      <c r="T5" s="84"/>
      <c r="U5" s="84"/>
      <c r="V5" s="11"/>
      <c r="W5" s="11">
        <f t="shared" si="0"/>
        <v>0</v>
      </c>
      <c r="X5" s="84"/>
      <c r="Y5" s="84"/>
      <c r="Z5" s="84"/>
      <c r="AH5" s="96" t="s">
        <v>1126</v>
      </c>
      <c r="AI5" s="96" t="s">
        <v>1127</v>
      </c>
      <c r="AJ5" s="96" t="s">
        <v>1128</v>
      </c>
      <c r="AK5" s="96" t="s">
        <v>1129</v>
      </c>
    </row>
    <row r="6" spans="1:37" ht="27.75" customHeight="1">
      <c r="A6">
        <v>2038</v>
      </c>
      <c r="B6">
        <f>A6</f>
        <v>2038</v>
      </c>
      <c r="C6">
        <f t="shared" ref="C6:F6" si="2">B6</f>
        <v>2038</v>
      </c>
      <c r="D6">
        <f t="shared" si="2"/>
        <v>2038</v>
      </c>
      <c r="E6">
        <f t="shared" si="2"/>
        <v>2038</v>
      </c>
      <c r="F6">
        <f t="shared" si="2"/>
        <v>2038</v>
      </c>
      <c r="G6" t="s">
        <v>1096</v>
      </c>
      <c r="R6" s="11"/>
      <c r="S6" s="84"/>
      <c r="T6" s="84"/>
      <c r="U6" s="84"/>
      <c r="V6" s="11"/>
      <c r="W6" s="11">
        <f t="shared" si="0"/>
        <v>0</v>
      </c>
      <c r="X6" s="84"/>
      <c r="Y6" s="84"/>
      <c r="Z6" s="84"/>
      <c r="AH6" s="97" t="s">
        <v>1130</v>
      </c>
      <c r="AI6" s="97" t="s">
        <v>1131</v>
      </c>
      <c r="AJ6" s="97" t="s">
        <v>1132</v>
      </c>
      <c r="AK6" s="97" t="s">
        <v>1133</v>
      </c>
    </row>
    <row r="7" spans="1:37">
      <c r="R7" s="11"/>
      <c r="S7" s="84"/>
      <c r="T7" s="84"/>
      <c r="U7" s="84"/>
      <c r="V7" s="11"/>
      <c r="W7" s="11">
        <f t="shared" si="0"/>
        <v>0</v>
      </c>
      <c r="X7" s="84"/>
      <c r="Y7" s="84"/>
      <c r="Z7" s="84"/>
    </row>
    <row r="8" spans="1:37">
      <c r="A8">
        <f>A1+A3</f>
        <v>1620</v>
      </c>
      <c r="B8">
        <f t="shared" ref="B8:F8" si="3">B1+B3</f>
        <v>1720</v>
      </c>
      <c r="C8">
        <f t="shared" si="3"/>
        <v>1820</v>
      </c>
      <c r="D8">
        <f t="shared" si="3"/>
        <v>1920</v>
      </c>
      <c r="E8">
        <f t="shared" si="3"/>
        <v>2020</v>
      </c>
      <c r="F8">
        <f t="shared" si="3"/>
        <v>2120</v>
      </c>
      <c r="G8" t="s">
        <v>1097</v>
      </c>
      <c r="R8" s="11"/>
      <c r="S8" s="84"/>
      <c r="T8" s="84"/>
      <c r="U8" s="84"/>
      <c r="V8" s="11"/>
      <c r="W8" s="11">
        <f t="shared" si="0"/>
        <v>0</v>
      </c>
      <c r="X8" s="84"/>
      <c r="Y8" s="84"/>
      <c r="Z8" s="84"/>
    </row>
    <row r="9" spans="1:37">
      <c r="A9">
        <f>A2+A3</f>
        <v>1520</v>
      </c>
      <c r="B9">
        <f t="shared" ref="B9:F9" si="4">B2+B3</f>
        <v>1620</v>
      </c>
      <c r="C9">
        <f t="shared" si="4"/>
        <v>1720</v>
      </c>
      <c r="D9">
        <f t="shared" si="4"/>
        <v>1820</v>
      </c>
      <c r="E9">
        <f t="shared" si="4"/>
        <v>1920</v>
      </c>
      <c r="F9">
        <f t="shared" si="4"/>
        <v>2020</v>
      </c>
      <c r="G9" t="s">
        <v>1098</v>
      </c>
      <c r="J9">
        <v>232</v>
      </c>
      <c r="K9">
        <v>2.12</v>
      </c>
      <c r="L9">
        <f>$J$9/K9</f>
        <v>109.43396226415094</v>
      </c>
      <c r="O9" t="s">
        <v>1105</v>
      </c>
      <c r="P9">
        <v>5</v>
      </c>
      <c r="R9" s="11"/>
      <c r="S9" s="84"/>
      <c r="T9" s="84"/>
      <c r="U9" s="84"/>
      <c r="V9" s="11"/>
      <c r="W9" s="11">
        <f t="shared" si="0"/>
        <v>0</v>
      </c>
      <c r="X9" s="84"/>
      <c r="Y9" s="84"/>
      <c r="Z9" s="84"/>
    </row>
    <row r="10" spans="1:37">
      <c r="K10">
        <v>2.02</v>
      </c>
      <c r="L10">
        <f t="shared" ref="L10:L13" si="5">$J$9/K10</f>
        <v>114.85148514851485</v>
      </c>
      <c r="O10" t="s">
        <v>1106</v>
      </c>
      <c r="P10">
        <v>20</v>
      </c>
      <c r="R10" s="11"/>
      <c r="S10" s="84"/>
      <c r="T10" s="84"/>
      <c r="U10" s="84"/>
      <c r="V10" s="11"/>
      <c r="W10" s="11"/>
      <c r="X10" s="84"/>
      <c r="Y10" s="84"/>
      <c r="Z10" s="84"/>
      <c r="AB10" s="105"/>
      <c r="AC10" s="105"/>
      <c r="AD10" s="105" t="s">
        <v>1173</v>
      </c>
      <c r="AE10" s="105">
        <v>28</v>
      </c>
      <c r="AF10" s="105"/>
      <c r="AG10" s="105"/>
      <c r="AH10" s="105"/>
      <c r="AI10" s="105"/>
    </row>
    <row r="11" spans="1:37">
      <c r="A11">
        <f>A5+A3</f>
        <v>2220</v>
      </c>
      <c r="B11">
        <f t="shared" ref="B11:F11" si="6">B5+B3</f>
        <v>2320</v>
      </c>
      <c r="C11">
        <f t="shared" si="6"/>
        <v>2420</v>
      </c>
      <c r="D11">
        <f t="shared" si="6"/>
        <v>2520</v>
      </c>
      <c r="E11">
        <f t="shared" si="6"/>
        <v>2620</v>
      </c>
      <c r="F11">
        <f t="shared" si="6"/>
        <v>2720</v>
      </c>
      <c r="G11" t="s">
        <v>1099</v>
      </c>
      <c r="K11">
        <v>1.92</v>
      </c>
      <c r="L11">
        <f t="shared" si="5"/>
        <v>120.83333333333334</v>
      </c>
      <c r="O11" t="s">
        <v>452</v>
      </c>
      <c r="P11">
        <v>1.5</v>
      </c>
      <c r="R11" s="11"/>
      <c r="S11" s="84"/>
      <c r="T11" s="84"/>
      <c r="U11" s="84"/>
      <c r="V11" s="11"/>
      <c r="W11" s="11"/>
      <c r="X11" s="84"/>
      <c r="Y11" s="84"/>
      <c r="Z11" s="84"/>
      <c r="AB11" s="105"/>
      <c r="AC11" s="105"/>
      <c r="AD11" s="105"/>
      <c r="AE11" s="105"/>
      <c r="AF11" s="105"/>
      <c r="AG11" s="105"/>
      <c r="AH11" s="105"/>
      <c r="AI11" s="105"/>
    </row>
    <row r="12" spans="1:37">
      <c r="A12">
        <f>A6+A3</f>
        <v>2258</v>
      </c>
      <c r="B12">
        <f t="shared" ref="B12:F12" si="7">B6+B3</f>
        <v>2358</v>
      </c>
      <c r="C12">
        <f t="shared" si="7"/>
        <v>2458</v>
      </c>
      <c r="D12">
        <f t="shared" si="7"/>
        <v>2558</v>
      </c>
      <c r="E12">
        <f t="shared" si="7"/>
        <v>2658</v>
      </c>
      <c r="F12">
        <f t="shared" si="7"/>
        <v>2758</v>
      </c>
      <c r="G12" t="s">
        <v>1100</v>
      </c>
      <c r="K12">
        <v>1.82</v>
      </c>
      <c r="L12">
        <f t="shared" si="5"/>
        <v>127.47252747252747</v>
      </c>
      <c r="O12" t="s">
        <v>752</v>
      </c>
      <c r="P12">
        <v>27</v>
      </c>
      <c r="R12" s="11"/>
      <c r="S12" s="84"/>
      <c r="T12" s="84"/>
      <c r="U12" s="84"/>
      <c r="V12" s="11"/>
      <c r="W12" s="11"/>
      <c r="X12" s="84"/>
      <c r="Y12" s="84"/>
      <c r="Z12" s="84"/>
      <c r="AB12" s="105"/>
      <c r="AC12" s="105"/>
      <c r="AD12" s="105"/>
      <c r="AE12" s="105"/>
      <c r="AF12" s="105"/>
      <c r="AG12" s="105"/>
      <c r="AH12" s="105"/>
      <c r="AI12" s="105"/>
    </row>
    <row r="13" spans="1:37">
      <c r="K13">
        <v>1.72</v>
      </c>
      <c r="L13">
        <f t="shared" si="5"/>
        <v>134.88372093023256</v>
      </c>
      <c r="O13" t="s">
        <v>1118</v>
      </c>
      <c r="P13">
        <v>7.5</v>
      </c>
      <c r="R13" s="11"/>
      <c r="S13" s="84"/>
      <c r="T13" s="84"/>
      <c r="U13" s="84"/>
      <c r="V13" s="11"/>
      <c r="W13" s="11"/>
      <c r="X13" s="84"/>
      <c r="Y13" s="84"/>
      <c r="Z13" s="84"/>
      <c r="AB13" s="105"/>
      <c r="AC13" s="105"/>
      <c r="AD13" s="105"/>
      <c r="AE13" s="105"/>
      <c r="AF13" s="105"/>
      <c r="AG13" s="105"/>
      <c r="AH13" s="105"/>
      <c r="AI13" s="105"/>
    </row>
    <row r="14" spans="1:37">
      <c r="A14">
        <f>A11-A8</f>
        <v>600</v>
      </c>
      <c r="B14">
        <f t="shared" ref="B14:F14" si="8">B11-B8</f>
        <v>600</v>
      </c>
      <c r="C14">
        <f t="shared" si="8"/>
        <v>600</v>
      </c>
      <c r="D14">
        <f t="shared" si="8"/>
        <v>600</v>
      </c>
      <c r="E14">
        <f t="shared" si="8"/>
        <v>600</v>
      </c>
      <c r="F14">
        <f t="shared" si="8"/>
        <v>600</v>
      </c>
      <c r="G14" t="s">
        <v>1101</v>
      </c>
      <c r="K14">
        <v>1.62</v>
      </c>
      <c r="L14">
        <f>$J$9/K14</f>
        <v>143.20987654320987</v>
      </c>
      <c r="O14" t="s">
        <v>1119</v>
      </c>
      <c r="P14">
        <v>6</v>
      </c>
      <c r="R14" s="11"/>
      <c r="S14" s="84"/>
      <c r="T14" s="84"/>
      <c r="U14" s="84"/>
      <c r="V14" s="11"/>
      <c r="W14" s="11"/>
      <c r="X14" s="84"/>
      <c r="Y14" s="84"/>
      <c r="Z14" s="84"/>
      <c r="AB14" s="105" t="s">
        <v>1169</v>
      </c>
      <c r="AC14" s="105" t="s">
        <v>1170</v>
      </c>
      <c r="AD14" s="105" t="s">
        <v>1171</v>
      </c>
      <c r="AE14" s="105" t="s">
        <v>183</v>
      </c>
      <c r="AF14" s="105" t="s">
        <v>960</v>
      </c>
      <c r="AG14" s="105" t="s">
        <v>1172</v>
      </c>
      <c r="AH14" s="105" t="s">
        <v>1181</v>
      </c>
      <c r="AI14" s="105" t="s">
        <v>1174</v>
      </c>
    </row>
    <row r="15" spans="1:37">
      <c r="A15">
        <f>A12-A9</f>
        <v>738</v>
      </c>
      <c r="B15">
        <f t="shared" ref="B15:F15" si="9">B12-B9</f>
        <v>738</v>
      </c>
      <c r="C15">
        <f t="shared" si="9"/>
        <v>738</v>
      </c>
      <c r="D15">
        <f t="shared" si="9"/>
        <v>738</v>
      </c>
      <c r="E15">
        <f t="shared" si="9"/>
        <v>738</v>
      </c>
      <c r="F15">
        <f t="shared" si="9"/>
        <v>738</v>
      </c>
      <c r="G15" t="s">
        <v>1102</v>
      </c>
      <c r="O15" t="s">
        <v>1107</v>
      </c>
      <c r="P15">
        <v>30</v>
      </c>
      <c r="R15" s="11"/>
      <c r="S15" s="11"/>
      <c r="T15" s="11"/>
      <c r="U15" s="11"/>
      <c r="V15" s="11"/>
      <c r="W15" s="11"/>
      <c r="X15" s="11"/>
      <c r="Y15" s="11"/>
      <c r="Z15" s="11"/>
      <c r="AB15" s="116">
        <v>1830000</v>
      </c>
      <c r="AC15" s="116">
        <v>1590000</v>
      </c>
      <c r="AD15" s="116">
        <v>700000</v>
      </c>
      <c r="AE15" s="105">
        <f>AE10</f>
        <v>28</v>
      </c>
      <c r="AF15" s="101">
        <f>AB15-AC15</f>
        <v>240000</v>
      </c>
      <c r="AG15" s="105">
        <f>(AB15-AC15)/(AC15+AD15)*365/AE15*100</f>
        <v>136.61883967560823</v>
      </c>
      <c r="AH15" s="105">
        <f>AG15/12</f>
        <v>11.384903306300686</v>
      </c>
      <c r="AI15" s="105" t="s">
        <v>1175</v>
      </c>
    </row>
    <row r="16" spans="1:37">
      <c r="R16" s="11"/>
      <c r="S16" s="11"/>
      <c r="T16" s="11"/>
      <c r="U16" s="11"/>
      <c r="V16" s="11"/>
      <c r="W16" s="11"/>
      <c r="X16" s="11"/>
      <c r="Y16" s="11"/>
      <c r="Z16" s="11"/>
      <c r="AB16" s="116">
        <v>1908000</v>
      </c>
      <c r="AC16" s="116">
        <f>AC15</f>
        <v>1590000</v>
      </c>
      <c r="AD16" s="116">
        <f>AD15</f>
        <v>700000</v>
      </c>
      <c r="AE16" s="105">
        <f>AE15+64</f>
        <v>92</v>
      </c>
      <c r="AF16" s="101">
        <f t="shared" ref="AF16:AF19" si="10">AB16-AC16</f>
        <v>318000</v>
      </c>
      <c r="AG16" s="105">
        <f t="shared" ref="AG16:AG19" si="11">(AB16-AC16)/(AC16+AD16)*365/AE16*100</f>
        <v>55.093032086576798</v>
      </c>
      <c r="AH16" s="105">
        <f t="shared" ref="AH16:AH19" si="12">AG16/12</f>
        <v>4.5910860072147335</v>
      </c>
      <c r="AI16" s="105" t="s">
        <v>1176</v>
      </c>
    </row>
    <row r="17" spans="1:35">
      <c r="A17">
        <f>A14/A8</f>
        <v>0.37037037037037035</v>
      </c>
      <c r="B17">
        <f t="shared" ref="B17:F17" si="13">B14/B8</f>
        <v>0.34883720930232559</v>
      </c>
      <c r="C17">
        <f t="shared" si="13"/>
        <v>0.32967032967032966</v>
      </c>
      <c r="D17">
        <f t="shared" si="13"/>
        <v>0.3125</v>
      </c>
      <c r="E17">
        <f t="shared" si="13"/>
        <v>0.29702970297029702</v>
      </c>
      <c r="F17">
        <f t="shared" si="13"/>
        <v>0.28301886792452829</v>
      </c>
      <c r="G17" t="s">
        <v>1138</v>
      </c>
      <c r="R17" s="11"/>
      <c r="S17" s="11"/>
      <c r="T17" s="11"/>
      <c r="U17" s="11"/>
      <c r="V17" s="11"/>
      <c r="W17" s="11"/>
      <c r="X17" s="11"/>
      <c r="Y17" s="11"/>
      <c r="Z17" s="11"/>
      <c r="AB17" s="116">
        <v>1939000</v>
      </c>
      <c r="AC17" s="116">
        <f t="shared" ref="AC17:AD17" si="14">AC16</f>
        <v>1590000</v>
      </c>
      <c r="AD17" s="116">
        <f t="shared" si="14"/>
        <v>700000</v>
      </c>
      <c r="AE17" s="105">
        <f>AE16+61</f>
        <v>153</v>
      </c>
      <c r="AF17" s="101">
        <f t="shared" si="10"/>
        <v>349000</v>
      </c>
      <c r="AG17" s="105">
        <f t="shared" si="11"/>
        <v>36.357279447441279</v>
      </c>
      <c r="AH17" s="105">
        <f t="shared" si="12"/>
        <v>3.0297732872867731</v>
      </c>
      <c r="AI17" s="105" t="s">
        <v>1177</v>
      </c>
    </row>
    <row r="18" spans="1:35">
      <c r="A18">
        <f>A14/A8*12/8</f>
        <v>0.55555555555555558</v>
      </c>
      <c r="B18">
        <f t="shared" ref="B18:F18" si="15">B14/B8*12/8</f>
        <v>0.52325581395348841</v>
      </c>
      <c r="C18">
        <f t="shared" si="15"/>
        <v>0.49450549450549453</v>
      </c>
      <c r="D18">
        <f t="shared" si="15"/>
        <v>0.46875</v>
      </c>
      <c r="E18">
        <f t="shared" si="15"/>
        <v>0.4455445544554455</v>
      </c>
      <c r="F18">
        <f t="shared" si="15"/>
        <v>0.42452830188679247</v>
      </c>
      <c r="G18" t="s">
        <v>1103</v>
      </c>
      <c r="R18" s="11"/>
      <c r="S18" s="11"/>
      <c r="T18" s="11"/>
      <c r="U18" s="11"/>
      <c r="V18" s="11"/>
      <c r="W18" s="11"/>
      <c r="X18" s="11"/>
      <c r="Y18" s="11"/>
      <c r="Z18" s="11"/>
      <c r="AB18" s="116">
        <v>2200000</v>
      </c>
      <c r="AC18" s="116">
        <v>1526000</v>
      </c>
      <c r="AD18" s="116">
        <v>700000</v>
      </c>
      <c r="AE18" s="105">
        <f>AE17+62</f>
        <v>215</v>
      </c>
      <c r="AF18" s="101">
        <f t="shared" si="10"/>
        <v>674000</v>
      </c>
      <c r="AG18" s="105">
        <f t="shared" si="11"/>
        <v>51.403079880482252</v>
      </c>
      <c r="AH18" s="105">
        <f t="shared" si="12"/>
        <v>4.2835899900401877</v>
      </c>
      <c r="AI18" s="105" t="s">
        <v>1178</v>
      </c>
    </row>
    <row r="19" spans="1:35">
      <c r="A19">
        <f>A15/A9*12/14</f>
        <v>0.41616541353383457</v>
      </c>
      <c r="B19">
        <f t="shared" ref="B19:F19" si="16">B15/B9*12/14</f>
        <v>0.39047619047619048</v>
      </c>
      <c r="C19">
        <f t="shared" si="16"/>
        <v>0.3677740863787376</v>
      </c>
      <c r="D19">
        <f t="shared" si="16"/>
        <v>0.34756671899529046</v>
      </c>
      <c r="E19">
        <f t="shared" si="16"/>
        <v>0.32946428571428577</v>
      </c>
      <c r="F19">
        <f t="shared" si="16"/>
        <v>0.31315417256011319</v>
      </c>
      <c r="G19" t="s">
        <v>1104</v>
      </c>
      <c r="L19">
        <v>120</v>
      </c>
      <c r="M19">
        <v>1.4</v>
      </c>
      <c r="N19">
        <f>L19*M19</f>
        <v>168</v>
      </c>
      <c r="O19">
        <f>P11-N19</f>
        <v>-166.5</v>
      </c>
      <c r="R19" s="11"/>
      <c r="S19" s="11"/>
      <c r="T19" s="11"/>
      <c r="U19" s="11"/>
      <c r="V19" s="11"/>
      <c r="W19" s="11"/>
      <c r="X19" s="11"/>
      <c r="Y19" s="11"/>
      <c r="Z19" s="11"/>
      <c r="AB19" s="116">
        <v>2017000</v>
      </c>
      <c r="AC19" s="116">
        <v>1526000</v>
      </c>
      <c r="AD19" s="116">
        <v>800000</v>
      </c>
      <c r="AE19" s="105">
        <f>AE18+57</f>
        <v>272</v>
      </c>
      <c r="AF19" s="101">
        <f t="shared" si="10"/>
        <v>491000</v>
      </c>
      <c r="AG19" s="105">
        <f t="shared" si="11"/>
        <v>28.32668428506398</v>
      </c>
      <c r="AH19" s="105">
        <f t="shared" si="12"/>
        <v>2.3605570237553315</v>
      </c>
      <c r="AI19" s="105" t="s">
        <v>1179</v>
      </c>
    </row>
    <row r="20" spans="1:35">
      <c r="M20">
        <v>0.7</v>
      </c>
      <c r="N20">
        <f>L19*M20</f>
        <v>84</v>
      </c>
      <c r="R20" s="11"/>
      <c r="S20" s="11"/>
      <c r="T20" s="11"/>
      <c r="U20" s="11"/>
      <c r="V20" s="11"/>
      <c r="W20" s="11"/>
      <c r="X20" s="11"/>
      <c r="Y20" s="11"/>
      <c r="Z20" s="11"/>
      <c r="AB20" s="105"/>
      <c r="AC20" s="105"/>
      <c r="AD20" s="105"/>
      <c r="AE20" s="105"/>
      <c r="AF20" s="105"/>
      <c r="AG20" s="105"/>
      <c r="AH20" s="105"/>
      <c r="AI20" s="105" t="s">
        <v>1180</v>
      </c>
    </row>
    <row r="21" spans="1:35">
      <c r="A21">
        <f>A11*0.09</f>
        <v>199.79999999999998</v>
      </c>
      <c r="B21">
        <f t="shared" ref="B21:F21" si="17">B11*0.09</f>
        <v>208.79999999999998</v>
      </c>
      <c r="C21">
        <f t="shared" si="17"/>
        <v>217.79999999999998</v>
      </c>
      <c r="D21">
        <f t="shared" si="17"/>
        <v>226.79999999999998</v>
      </c>
      <c r="E21">
        <f t="shared" si="17"/>
        <v>235.79999999999998</v>
      </c>
      <c r="F21">
        <f t="shared" si="17"/>
        <v>244.79999999999998</v>
      </c>
      <c r="R21" s="11"/>
      <c r="S21" s="11"/>
      <c r="T21" s="11"/>
      <c r="U21" s="11"/>
      <c r="V21" s="11"/>
      <c r="W21" s="11"/>
      <c r="X21" s="11"/>
      <c r="Y21" s="11"/>
      <c r="Z21" s="11"/>
    </row>
    <row r="22" spans="1:35">
      <c r="A22">
        <f>(A11+A21)*A9/A8</f>
        <v>2270.4296296296297</v>
      </c>
      <c r="B22">
        <f t="shared" ref="B22:F22" si="18">(B11+B21)*B9/B8</f>
        <v>2381.7767441860469</v>
      </c>
      <c r="C22">
        <f t="shared" si="18"/>
        <v>2492.8659340659342</v>
      </c>
      <c r="D22">
        <f t="shared" si="18"/>
        <v>2603.7375000000002</v>
      </c>
      <c r="E22">
        <f t="shared" si="18"/>
        <v>2714.4237623762378</v>
      </c>
      <c r="F22">
        <f t="shared" si="18"/>
        <v>2824.9509433962262</v>
      </c>
      <c r="R22" s="11" t="s">
        <v>6</v>
      </c>
      <c r="S22" s="29">
        <f>SUM(S2:S19)</f>
        <v>168000000</v>
      </c>
      <c r="T22" s="29">
        <f t="shared" ref="T22:Z22" si="19">SUM(T2:T19)</f>
        <v>91000000</v>
      </c>
      <c r="U22" s="29">
        <f t="shared" si="19"/>
        <v>77000000</v>
      </c>
      <c r="V22" s="29"/>
      <c r="W22" s="29"/>
      <c r="X22" s="29">
        <f t="shared" si="19"/>
        <v>2856000000</v>
      </c>
      <c r="Y22" s="29">
        <f t="shared" si="19"/>
        <v>1547000000</v>
      </c>
      <c r="Z22" s="29">
        <f t="shared" si="19"/>
        <v>1309000000</v>
      </c>
    </row>
    <row r="23" spans="1:35">
      <c r="AD23" t="s">
        <v>25</v>
      </c>
    </row>
    <row r="28" spans="1:35">
      <c r="E28" t="s">
        <v>25</v>
      </c>
    </row>
    <row r="35" spans="6:9">
      <c r="F35" s="98" t="s">
        <v>1150</v>
      </c>
      <c r="G35" s="98">
        <v>24</v>
      </c>
    </row>
    <row r="36" spans="6:9">
      <c r="F36" s="98" t="s">
        <v>1149</v>
      </c>
      <c r="G36" s="98">
        <v>21.6</v>
      </c>
    </row>
    <row r="37" spans="6:9">
      <c r="F37" s="98" t="s">
        <v>1151</v>
      </c>
      <c r="G37" s="98">
        <v>31.1</v>
      </c>
    </row>
    <row r="38" spans="6:9">
      <c r="F38" s="98" t="s">
        <v>1152</v>
      </c>
      <c r="G38" s="98">
        <v>8.1329999999999991</v>
      </c>
    </row>
    <row r="39" spans="6:9">
      <c r="F39" s="98" t="s">
        <v>1153</v>
      </c>
      <c r="G39" s="98">
        <v>1325</v>
      </c>
    </row>
    <row r="40" spans="6:9">
      <c r="F40" s="98" t="s">
        <v>1154</v>
      </c>
      <c r="G40" s="98">
        <v>4800</v>
      </c>
    </row>
    <row r="41" spans="6:9">
      <c r="F41" s="98" t="s">
        <v>1156</v>
      </c>
      <c r="G41" s="98">
        <v>5000</v>
      </c>
    </row>
    <row r="42" spans="6:9">
      <c r="F42" s="98" t="s">
        <v>1155</v>
      </c>
      <c r="G42" s="101">
        <f>G36*G38*G39*G40/(G35*G37)+G41</f>
        <v>1501890.4180064306</v>
      </c>
    </row>
    <row r="43" spans="6:9">
      <c r="F43" s="99"/>
      <c r="G43" s="100"/>
    </row>
    <row r="44" spans="6:9">
      <c r="F44" s="99"/>
      <c r="G44" s="99" t="s">
        <v>1235</v>
      </c>
    </row>
    <row r="45" spans="6:9">
      <c r="H45" t="s">
        <v>1276</v>
      </c>
    </row>
    <row r="46" spans="6:9">
      <c r="H46" t="s">
        <v>1277</v>
      </c>
      <c r="I46" t="s">
        <v>1279</v>
      </c>
    </row>
    <row r="47" spans="6:9">
      <c r="H47" t="s">
        <v>1278</v>
      </c>
      <c r="I47" t="s">
        <v>1280</v>
      </c>
    </row>
    <row r="50" spans="1:10" ht="14.25" customHeight="1"/>
    <row r="60" spans="1:10">
      <c r="A60" s="138"/>
      <c r="B60" s="138"/>
      <c r="C60" s="138"/>
      <c r="D60" s="138"/>
      <c r="E60" s="137"/>
      <c r="F60" s="138"/>
      <c r="G60" s="138"/>
      <c r="H60" s="138"/>
      <c r="I60" s="138"/>
      <c r="J60" s="137"/>
    </row>
    <row r="61" spans="1:10">
      <c r="A61" s="137"/>
      <c r="B61" s="137"/>
      <c r="C61" s="137"/>
      <c r="D61" s="137"/>
      <c r="E61" s="137"/>
      <c r="F61" s="137"/>
      <c r="G61" s="137"/>
      <c r="H61" s="137"/>
      <c r="I61" s="137"/>
      <c r="J61" s="122"/>
    </row>
    <row r="62" spans="1:10">
      <c r="A62" s="137"/>
      <c r="B62" s="137"/>
      <c r="C62" s="137"/>
      <c r="D62" s="137"/>
      <c r="E62" s="137"/>
      <c r="F62" s="137"/>
      <c r="G62" s="137"/>
      <c r="H62" s="137"/>
      <c r="I62" s="137"/>
      <c r="J62" s="122"/>
    </row>
    <row r="63" spans="1:10">
      <c r="A63" s="137"/>
      <c r="B63" s="137"/>
      <c r="C63" s="137"/>
      <c r="D63" s="137"/>
      <c r="E63" s="137"/>
      <c r="F63" s="137"/>
      <c r="G63" s="137"/>
      <c r="H63" s="137"/>
      <c r="I63" s="137"/>
      <c r="J63" s="122"/>
    </row>
    <row r="64" spans="1:10">
      <c r="A64" s="137"/>
      <c r="B64" s="137"/>
      <c r="C64" s="137"/>
      <c r="D64" s="137"/>
      <c r="E64" s="137"/>
      <c r="F64" s="137"/>
      <c r="G64" s="137"/>
      <c r="H64" s="137"/>
      <c r="I64" s="137"/>
      <c r="J64" s="122"/>
    </row>
    <row r="65" spans="1:10">
      <c r="A65" s="137"/>
      <c r="B65" s="137"/>
      <c r="C65" s="137"/>
      <c r="D65" s="137"/>
      <c r="E65" s="137"/>
      <c r="F65" s="137"/>
      <c r="G65" s="137"/>
      <c r="H65" s="137"/>
      <c r="I65" s="137"/>
      <c r="J65" s="122"/>
    </row>
    <row r="66" spans="1:10">
      <c r="A66" s="137"/>
      <c r="B66" s="137"/>
      <c r="C66" s="137"/>
      <c r="D66" s="137"/>
      <c r="E66" s="137"/>
      <c r="F66" s="137"/>
      <c r="G66" s="137"/>
      <c r="H66" s="137"/>
      <c r="I66" s="137"/>
      <c r="J66" s="122"/>
    </row>
    <row r="67" spans="1:10">
      <c r="A67" s="137"/>
      <c r="B67" s="137"/>
      <c r="C67" s="137"/>
      <c r="D67" s="137"/>
      <c r="E67" s="137"/>
      <c r="F67" s="137"/>
      <c r="G67" s="137"/>
      <c r="H67" s="137"/>
      <c r="I67" s="137"/>
      <c r="J67" s="122"/>
    </row>
    <row r="68" spans="1:10">
      <c r="A68" s="137"/>
      <c r="B68" s="137"/>
      <c r="C68" s="137"/>
      <c r="D68" s="137"/>
      <c r="E68" s="137"/>
      <c r="F68" s="137"/>
      <c r="G68" s="137"/>
      <c r="H68" s="137"/>
      <c r="I68" s="137"/>
      <c r="J68" s="122"/>
    </row>
    <row r="69" spans="1:10">
      <c r="A69" s="137"/>
      <c r="B69" s="137"/>
      <c r="C69" s="137"/>
      <c r="D69" s="137"/>
      <c r="E69" s="137"/>
      <c r="F69" s="137"/>
      <c r="G69" s="137"/>
      <c r="H69" s="137"/>
      <c r="I69" s="137"/>
      <c r="J69" s="122"/>
    </row>
    <row r="70" spans="1:10">
      <c r="A70" s="137"/>
      <c r="B70" s="137"/>
      <c r="C70" s="137"/>
      <c r="D70" s="137"/>
      <c r="E70" s="137"/>
      <c r="F70" s="137"/>
      <c r="G70" s="137"/>
      <c r="H70" s="137"/>
      <c r="I70" s="137"/>
      <c r="J70" s="122"/>
    </row>
    <row r="71" spans="1:10">
      <c r="A71" s="137"/>
      <c r="B71" s="137"/>
      <c r="C71" s="137"/>
      <c r="D71" s="137"/>
      <c r="E71" s="137"/>
      <c r="F71" s="137"/>
      <c r="G71" s="137"/>
      <c r="H71" s="137"/>
      <c r="I71" s="137"/>
      <c r="J71" s="122"/>
    </row>
    <row r="72" spans="1:10">
      <c r="A72" s="137"/>
      <c r="B72" s="137"/>
      <c r="C72" s="137"/>
      <c r="D72" s="137"/>
      <c r="E72" s="137"/>
      <c r="F72" s="137"/>
      <c r="G72" s="137"/>
      <c r="H72" s="137"/>
      <c r="I72" s="137"/>
      <c r="J72" s="122"/>
    </row>
    <row r="73" spans="1:10">
      <c r="A73" s="137"/>
      <c r="B73" s="137"/>
      <c r="C73" s="137"/>
      <c r="D73" s="137"/>
      <c r="E73" s="137"/>
      <c r="F73" s="137"/>
      <c r="G73" s="137"/>
      <c r="H73" s="137"/>
      <c r="I73" s="137"/>
      <c r="J73" s="122"/>
    </row>
    <row r="74" spans="1:10">
      <c r="A74" s="137"/>
      <c r="B74" s="137"/>
      <c r="C74" s="137"/>
      <c r="D74" s="137"/>
      <c r="E74" s="137"/>
      <c r="F74" s="137"/>
      <c r="G74" s="137"/>
      <c r="H74" s="137"/>
      <c r="I74" s="137"/>
      <c r="J74" s="122"/>
    </row>
    <row r="75" spans="1:10">
      <c r="A75" s="137"/>
      <c r="B75" s="137"/>
      <c r="C75" s="137"/>
      <c r="D75" s="137"/>
      <c r="E75" s="137"/>
      <c r="F75" s="137"/>
      <c r="G75" s="137"/>
      <c r="H75" s="137"/>
      <c r="I75" s="137"/>
      <c r="J75" s="122"/>
    </row>
    <row r="76" spans="1:10">
      <c r="A76" s="121"/>
      <c r="B76" s="121"/>
      <c r="C76" s="121"/>
      <c r="D76" s="121"/>
      <c r="E76" s="121"/>
      <c r="F76" s="121"/>
      <c r="G76" s="121"/>
      <c r="H76" s="121"/>
      <c r="I76" s="121"/>
      <c r="J76" s="121"/>
    </row>
    <row r="77" spans="1:10">
      <c r="A77" s="121"/>
      <c r="B77" s="121"/>
      <c r="C77" s="121"/>
      <c r="D77" s="121"/>
      <c r="E77" s="121"/>
      <c r="F77" s="121"/>
      <c r="G77" s="121"/>
      <c r="H77" s="121"/>
      <c r="I77" s="121"/>
      <c r="J77" s="121"/>
    </row>
  </sheetData>
  <mergeCells count="5">
    <mergeCell ref="AH1:AK2"/>
    <mergeCell ref="AH3:AH4"/>
    <mergeCell ref="AI3:AI4"/>
    <mergeCell ref="AJ3:AJ4"/>
    <mergeCell ref="AK3:AK4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opLeftCell="C19" workbookViewId="0">
      <selection activeCell="L26" sqref="L26"/>
    </sheetView>
  </sheetViews>
  <sheetFormatPr defaultRowHeight="15"/>
  <cols>
    <col min="2" max="2" width="46" customWidth="1"/>
    <col min="7" max="7" width="30.85546875" customWidth="1"/>
    <col min="8" max="8" width="86.42578125" bestFit="1" customWidth="1"/>
    <col min="9" max="9" width="17.5703125" bestFit="1" customWidth="1"/>
    <col min="12" max="12" width="24.85546875" bestFit="1" customWidth="1"/>
  </cols>
  <sheetData>
    <row r="1" spans="1:12">
      <c r="A1" t="s">
        <v>1204</v>
      </c>
    </row>
    <row r="2" spans="1:12">
      <c r="A2">
        <v>1</v>
      </c>
      <c r="B2" t="s">
        <v>1205</v>
      </c>
      <c r="G2" t="s">
        <v>1206</v>
      </c>
    </row>
    <row r="3" spans="1:12">
      <c r="G3" s="129" t="s">
        <v>1207</v>
      </c>
    </row>
    <row r="4" spans="1:12">
      <c r="G4" t="s">
        <v>1208</v>
      </c>
      <c r="H4" t="s">
        <v>1209</v>
      </c>
      <c r="K4" t="s">
        <v>1220</v>
      </c>
      <c r="L4" s="129" t="s">
        <v>1221</v>
      </c>
    </row>
    <row r="5" spans="1:12">
      <c r="G5" t="s">
        <v>1210</v>
      </c>
      <c r="H5" t="s">
        <v>1211</v>
      </c>
    </row>
    <row r="6" spans="1:12">
      <c r="H6" t="s">
        <v>1212</v>
      </c>
    </row>
    <row r="7" spans="1:12">
      <c r="H7" t="s">
        <v>1213</v>
      </c>
    </row>
    <row r="9" spans="1:12">
      <c r="H9" t="s">
        <v>1219</v>
      </c>
    </row>
    <row r="19" spans="1:12">
      <c r="L19" t="s">
        <v>1226</v>
      </c>
    </row>
    <row r="20" spans="1:12">
      <c r="A20">
        <v>2</v>
      </c>
      <c r="B20" t="s">
        <v>1214</v>
      </c>
      <c r="G20" t="s">
        <v>1215</v>
      </c>
      <c r="H20" t="s">
        <v>1216</v>
      </c>
      <c r="L20" t="s">
        <v>1227</v>
      </c>
    </row>
    <row r="21" spans="1:12">
      <c r="G21" s="129" t="s">
        <v>1217</v>
      </c>
      <c r="H21" t="s">
        <v>1218</v>
      </c>
      <c r="L21" t="s">
        <v>1228</v>
      </c>
    </row>
    <row r="22" spans="1:12">
      <c r="L22" t="s">
        <v>1229</v>
      </c>
    </row>
    <row r="23" spans="1:12">
      <c r="L23" t="s">
        <v>1230</v>
      </c>
    </row>
    <row r="24" spans="1:12">
      <c r="L24" t="s">
        <v>1231</v>
      </c>
    </row>
    <row r="25" spans="1:12">
      <c r="L25" t="s">
        <v>1232</v>
      </c>
    </row>
    <row r="30" spans="1:12">
      <c r="A30">
        <v>3</v>
      </c>
      <c r="B30" t="s">
        <v>1222</v>
      </c>
      <c r="G30" t="s">
        <v>1223</v>
      </c>
      <c r="H30" s="129" t="s">
        <v>1224</v>
      </c>
      <c r="I30" t="s">
        <v>1225</v>
      </c>
    </row>
  </sheetData>
  <hyperlinks>
    <hyperlink ref="G3" r:id="rId1"/>
    <hyperlink ref="G21" r:id="rId2"/>
    <hyperlink ref="L4" r:id="rId3"/>
    <hyperlink ref="H30" r:id="rId4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0"/>
  <sheetViews>
    <sheetView workbookViewId="0">
      <pane ySplit="1" topLeftCell="A194" activePane="bottomLeft" state="frozen"/>
      <selection pane="bottomLeft" activeCell="G206" sqref="G206"/>
    </sheetView>
  </sheetViews>
  <sheetFormatPr defaultRowHeight="15"/>
  <cols>
    <col min="1" max="1" width="10.7109375" bestFit="1" customWidth="1"/>
    <col min="2" max="2" width="16.85546875" bestFit="1" customWidth="1"/>
    <col min="3" max="3" width="12.7109375" customWidth="1"/>
    <col min="4" max="4" width="16.7109375" customWidth="1"/>
    <col min="5" max="5" width="17.140625" customWidth="1"/>
    <col min="6" max="6" width="18.85546875" bestFit="1" customWidth="1"/>
    <col min="7" max="7" width="39.42578125" bestFit="1" customWidth="1"/>
    <col min="10" max="10" width="15.140625" bestFit="1" customWidth="1"/>
  </cols>
  <sheetData>
    <row r="1" spans="1:7" ht="29.25" customHeight="1">
      <c r="A1" s="11" t="s">
        <v>180</v>
      </c>
      <c r="B1" s="11" t="s">
        <v>267</v>
      </c>
      <c r="C1" s="36" t="s">
        <v>280</v>
      </c>
      <c r="D1" s="36" t="s">
        <v>281</v>
      </c>
      <c r="E1" s="36" t="s">
        <v>285</v>
      </c>
      <c r="F1" s="11" t="s">
        <v>282</v>
      </c>
      <c r="G1" s="11" t="s">
        <v>8</v>
      </c>
    </row>
    <row r="2" spans="1:7">
      <c r="A2" s="11" t="s">
        <v>294</v>
      </c>
      <c r="B2" s="3">
        <v>96700</v>
      </c>
      <c r="C2" s="11">
        <v>2</v>
      </c>
      <c r="D2" s="11">
        <f t="shared" ref="D2:D65" si="0">D3+C2</f>
        <v>695</v>
      </c>
      <c r="E2" s="11">
        <f>IF(B2&gt;0,1,0)</f>
        <v>1</v>
      </c>
      <c r="F2" s="11">
        <f>B2*(D2-E2)</f>
        <v>67109800</v>
      </c>
      <c r="G2" s="11" t="s">
        <v>1</v>
      </c>
    </row>
    <row r="3" spans="1:7">
      <c r="A3" s="11" t="s">
        <v>394</v>
      </c>
      <c r="B3" s="3">
        <v>3000000</v>
      </c>
      <c r="C3" s="11">
        <v>3</v>
      </c>
      <c r="D3" s="11">
        <f t="shared" si="0"/>
        <v>693</v>
      </c>
      <c r="E3" s="11">
        <f t="shared" ref="E3:E66" si="1">IF(B3&gt;0,1,0)</f>
        <v>1</v>
      </c>
      <c r="F3" s="11">
        <f t="shared" ref="F3:F66" si="2">B3*(D3-E3)</f>
        <v>2076000000</v>
      </c>
      <c r="G3" s="11"/>
    </row>
    <row r="4" spans="1:7">
      <c r="A4" s="11" t="s">
        <v>393</v>
      </c>
      <c r="B4" s="3">
        <v>-200000</v>
      </c>
      <c r="C4" s="11">
        <v>2</v>
      </c>
      <c r="D4" s="11">
        <f t="shared" si="0"/>
        <v>690</v>
      </c>
      <c r="E4" s="11">
        <f t="shared" si="1"/>
        <v>0</v>
      </c>
      <c r="F4" s="11">
        <f t="shared" si="2"/>
        <v>-138000000</v>
      </c>
      <c r="G4" s="11"/>
    </row>
    <row r="5" spans="1:7">
      <c r="A5" s="11" t="s">
        <v>392</v>
      </c>
      <c r="B5" s="3">
        <v>-100000</v>
      </c>
      <c r="C5" s="11">
        <v>1</v>
      </c>
      <c r="D5" s="11">
        <f t="shared" si="0"/>
        <v>688</v>
      </c>
      <c r="E5" s="11">
        <f t="shared" si="1"/>
        <v>0</v>
      </c>
      <c r="F5" s="11">
        <f t="shared" si="2"/>
        <v>-68800000</v>
      </c>
      <c r="G5" s="11"/>
    </row>
    <row r="6" spans="1:7">
      <c r="A6" s="11" t="s">
        <v>391</v>
      </c>
      <c r="B6" s="3">
        <v>-55000</v>
      </c>
      <c r="C6" s="11">
        <v>1</v>
      </c>
      <c r="D6" s="11">
        <f t="shared" si="0"/>
        <v>687</v>
      </c>
      <c r="E6" s="11">
        <f t="shared" si="1"/>
        <v>0</v>
      </c>
      <c r="F6" s="11">
        <f t="shared" si="2"/>
        <v>-37785000</v>
      </c>
      <c r="G6" s="11"/>
    </row>
    <row r="7" spans="1:7">
      <c r="A7" s="11" t="s">
        <v>390</v>
      </c>
      <c r="B7" s="3">
        <v>-200000</v>
      </c>
      <c r="C7" s="11">
        <v>4</v>
      </c>
      <c r="D7" s="11">
        <f t="shared" si="0"/>
        <v>686</v>
      </c>
      <c r="E7" s="11">
        <f t="shared" si="1"/>
        <v>0</v>
      </c>
      <c r="F7" s="11">
        <f t="shared" si="2"/>
        <v>-137200000</v>
      </c>
      <c r="G7" s="11"/>
    </row>
    <row r="8" spans="1:7">
      <c r="A8" s="11" t="s">
        <v>389</v>
      </c>
      <c r="B8" s="3">
        <v>-200000</v>
      </c>
      <c r="C8" s="11">
        <v>10</v>
      </c>
      <c r="D8" s="11">
        <f t="shared" si="0"/>
        <v>682</v>
      </c>
      <c r="E8" s="11">
        <f t="shared" si="1"/>
        <v>0</v>
      </c>
      <c r="F8" s="11">
        <f t="shared" si="2"/>
        <v>-136400000</v>
      </c>
      <c r="G8" s="11"/>
    </row>
    <row r="9" spans="1:7">
      <c r="A9" s="11" t="s">
        <v>388</v>
      </c>
      <c r="B9" s="3">
        <v>-950500</v>
      </c>
      <c r="C9" s="11">
        <v>1</v>
      </c>
      <c r="D9" s="11">
        <f t="shared" si="0"/>
        <v>672</v>
      </c>
      <c r="E9" s="11">
        <f t="shared" si="1"/>
        <v>0</v>
      </c>
      <c r="F9" s="11">
        <f t="shared" si="2"/>
        <v>-638736000</v>
      </c>
      <c r="G9" s="11"/>
    </row>
    <row r="10" spans="1:7">
      <c r="A10" s="23" t="s">
        <v>387</v>
      </c>
      <c r="B10" s="3">
        <v>2000000</v>
      </c>
      <c r="C10" s="11">
        <v>2</v>
      </c>
      <c r="D10" s="11">
        <f t="shared" si="0"/>
        <v>671</v>
      </c>
      <c r="E10" s="11">
        <f t="shared" si="1"/>
        <v>1</v>
      </c>
      <c r="F10" s="11">
        <f t="shared" si="2"/>
        <v>1340000000</v>
      </c>
      <c r="G10" s="11"/>
    </row>
    <row r="11" spans="1:7">
      <c r="A11" s="11" t="s">
        <v>386</v>
      </c>
      <c r="B11" s="3">
        <v>-1065000</v>
      </c>
      <c r="C11" s="11">
        <v>3</v>
      </c>
      <c r="D11" s="11">
        <f t="shared" si="0"/>
        <v>669</v>
      </c>
      <c r="E11" s="11">
        <f t="shared" si="1"/>
        <v>0</v>
      </c>
      <c r="F11" s="11">
        <f t="shared" si="2"/>
        <v>-712485000</v>
      </c>
      <c r="G11" s="11"/>
    </row>
    <row r="12" spans="1:7">
      <c r="A12" s="11" t="s">
        <v>385</v>
      </c>
      <c r="B12" s="3">
        <v>-45000</v>
      </c>
      <c r="C12" s="11">
        <v>1</v>
      </c>
      <c r="D12" s="11">
        <f t="shared" si="0"/>
        <v>666</v>
      </c>
      <c r="E12" s="11">
        <f t="shared" si="1"/>
        <v>0</v>
      </c>
      <c r="F12" s="11">
        <f t="shared" si="2"/>
        <v>-29970000</v>
      </c>
      <c r="G12" s="11"/>
    </row>
    <row r="13" spans="1:7">
      <c r="A13" s="11" t="s">
        <v>384</v>
      </c>
      <c r="B13" s="3">
        <v>-2000700</v>
      </c>
      <c r="C13" s="11">
        <v>4</v>
      </c>
      <c r="D13" s="11">
        <f t="shared" si="0"/>
        <v>665</v>
      </c>
      <c r="E13" s="11">
        <f t="shared" si="1"/>
        <v>0</v>
      </c>
      <c r="F13" s="11">
        <f t="shared" si="2"/>
        <v>-1330465500</v>
      </c>
      <c r="G13" s="11"/>
    </row>
    <row r="14" spans="1:7">
      <c r="A14" s="23" t="s">
        <v>383</v>
      </c>
      <c r="B14" s="3">
        <v>-200000</v>
      </c>
      <c r="C14" s="11">
        <v>2</v>
      </c>
      <c r="D14" s="11">
        <f t="shared" si="0"/>
        <v>661</v>
      </c>
      <c r="E14" s="11">
        <f t="shared" si="1"/>
        <v>0</v>
      </c>
      <c r="F14" s="11">
        <f t="shared" si="2"/>
        <v>-132200000</v>
      </c>
      <c r="G14" s="11"/>
    </row>
    <row r="15" spans="1:7">
      <c r="A15" s="11" t="s">
        <v>382</v>
      </c>
      <c r="B15" s="3">
        <v>2000000</v>
      </c>
      <c r="C15" s="11">
        <v>0</v>
      </c>
      <c r="D15" s="11">
        <f t="shared" si="0"/>
        <v>659</v>
      </c>
      <c r="E15" s="11">
        <f t="shared" si="1"/>
        <v>1</v>
      </c>
      <c r="F15" s="11">
        <f t="shared" si="2"/>
        <v>1316000000</v>
      </c>
      <c r="G15" s="11"/>
    </row>
    <row r="16" spans="1:7">
      <c r="A16" s="11" t="s">
        <v>382</v>
      </c>
      <c r="B16" s="3">
        <v>2000000</v>
      </c>
      <c r="C16" s="11">
        <v>0</v>
      </c>
      <c r="D16" s="11">
        <f t="shared" si="0"/>
        <v>659</v>
      </c>
      <c r="E16" s="11">
        <f t="shared" si="1"/>
        <v>1</v>
      </c>
      <c r="F16" s="11">
        <f t="shared" si="2"/>
        <v>1316000000</v>
      </c>
      <c r="G16" s="11"/>
    </row>
    <row r="17" spans="1:12">
      <c r="A17" s="11" t="s">
        <v>382</v>
      </c>
      <c r="B17" s="3">
        <v>1200000</v>
      </c>
      <c r="C17" s="11">
        <v>0</v>
      </c>
      <c r="D17" s="11">
        <f t="shared" si="0"/>
        <v>659</v>
      </c>
      <c r="E17" s="11">
        <f t="shared" si="1"/>
        <v>1</v>
      </c>
      <c r="F17" s="11">
        <f t="shared" si="2"/>
        <v>789600000</v>
      </c>
      <c r="G17" s="11"/>
    </row>
    <row r="18" spans="1:12">
      <c r="A18" s="11" t="s">
        <v>382</v>
      </c>
      <c r="B18" s="3">
        <v>1000000</v>
      </c>
      <c r="C18" s="11">
        <v>1</v>
      </c>
      <c r="D18" s="11">
        <f t="shared" si="0"/>
        <v>659</v>
      </c>
      <c r="E18" s="11">
        <f t="shared" si="1"/>
        <v>1</v>
      </c>
      <c r="F18" s="11">
        <f t="shared" si="2"/>
        <v>658000000</v>
      </c>
      <c r="G18" s="11"/>
    </row>
    <row r="19" spans="1:12">
      <c r="A19" s="11" t="s">
        <v>381</v>
      </c>
      <c r="B19" s="3">
        <v>3000000</v>
      </c>
      <c r="C19" s="11">
        <v>0</v>
      </c>
      <c r="D19" s="11">
        <f t="shared" si="0"/>
        <v>658</v>
      </c>
      <c r="E19" s="11">
        <f t="shared" si="1"/>
        <v>1</v>
      </c>
      <c r="F19" s="11">
        <f t="shared" si="2"/>
        <v>1971000000</v>
      </c>
      <c r="G19" s="11"/>
      <c r="L19" t="s">
        <v>25</v>
      </c>
    </row>
    <row r="20" spans="1:12">
      <c r="A20" s="11" t="s">
        <v>381</v>
      </c>
      <c r="B20" s="3">
        <v>-432700</v>
      </c>
      <c r="C20" s="11">
        <v>0</v>
      </c>
      <c r="D20" s="11">
        <f t="shared" si="0"/>
        <v>658</v>
      </c>
      <c r="E20" s="11">
        <f t="shared" si="1"/>
        <v>0</v>
      </c>
      <c r="F20" s="11">
        <f t="shared" si="2"/>
        <v>-284716600</v>
      </c>
      <c r="G20" s="11"/>
    </row>
    <row r="21" spans="1:12">
      <c r="A21" s="11" t="s">
        <v>381</v>
      </c>
      <c r="B21" s="3">
        <v>-432700</v>
      </c>
      <c r="C21" s="11">
        <v>0</v>
      </c>
      <c r="D21" s="11">
        <f t="shared" si="0"/>
        <v>658</v>
      </c>
      <c r="E21" s="11">
        <f t="shared" si="1"/>
        <v>0</v>
      </c>
      <c r="F21" s="11">
        <f t="shared" si="2"/>
        <v>-284716600</v>
      </c>
      <c r="G21" s="11"/>
    </row>
    <row r="22" spans="1:12">
      <c r="A22" s="11" t="s">
        <v>381</v>
      </c>
      <c r="B22" s="3">
        <v>-432700</v>
      </c>
      <c r="C22" s="11">
        <v>0</v>
      </c>
      <c r="D22" s="11">
        <f t="shared" si="0"/>
        <v>658</v>
      </c>
      <c r="E22" s="11">
        <f t="shared" si="1"/>
        <v>0</v>
      </c>
      <c r="F22" s="11">
        <f t="shared" si="2"/>
        <v>-284716600</v>
      </c>
      <c r="G22" s="11"/>
    </row>
    <row r="23" spans="1:12">
      <c r="A23" s="11" t="s">
        <v>381</v>
      </c>
      <c r="B23" s="3">
        <v>-432700</v>
      </c>
      <c r="C23" s="11">
        <v>0</v>
      </c>
      <c r="D23" s="11">
        <f t="shared" si="0"/>
        <v>658</v>
      </c>
      <c r="E23" s="11">
        <f t="shared" si="1"/>
        <v>0</v>
      </c>
      <c r="F23" s="11">
        <f t="shared" si="2"/>
        <v>-284716600</v>
      </c>
      <c r="G23" s="11"/>
    </row>
    <row r="24" spans="1:12">
      <c r="A24" s="11" t="s">
        <v>381</v>
      </c>
      <c r="B24" s="3">
        <v>-432700</v>
      </c>
      <c r="C24" s="11">
        <v>0</v>
      </c>
      <c r="D24" s="11">
        <f t="shared" si="0"/>
        <v>658</v>
      </c>
      <c r="E24" s="11">
        <f t="shared" si="1"/>
        <v>0</v>
      </c>
      <c r="F24" s="11">
        <f t="shared" si="2"/>
        <v>-284716600</v>
      </c>
      <c r="G24" s="11"/>
    </row>
    <row r="25" spans="1:12">
      <c r="A25" s="11" t="s">
        <v>381</v>
      </c>
      <c r="B25" s="3">
        <v>-200000</v>
      </c>
      <c r="C25" s="11">
        <v>1</v>
      </c>
      <c r="D25" s="11">
        <f t="shared" si="0"/>
        <v>658</v>
      </c>
      <c r="E25" s="11">
        <f t="shared" si="1"/>
        <v>0</v>
      </c>
      <c r="F25" s="11">
        <f t="shared" si="2"/>
        <v>-131600000</v>
      </c>
      <c r="G25" s="11"/>
    </row>
    <row r="26" spans="1:12">
      <c r="A26" s="11" t="s">
        <v>380</v>
      </c>
      <c r="B26" s="3">
        <v>3000000</v>
      </c>
      <c r="C26" s="11">
        <v>2</v>
      </c>
      <c r="D26" s="11">
        <f t="shared" si="0"/>
        <v>657</v>
      </c>
      <c r="E26" s="11">
        <f t="shared" si="1"/>
        <v>1</v>
      </c>
      <c r="F26" s="11">
        <f t="shared" si="2"/>
        <v>1968000000</v>
      </c>
      <c r="G26" s="11"/>
    </row>
    <row r="27" spans="1:12">
      <c r="A27" s="11" t="s">
        <v>379</v>
      </c>
      <c r="B27" s="3">
        <v>-200000</v>
      </c>
      <c r="C27" s="11">
        <v>1</v>
      </c>
      <c r="D27" s="11">
        <f t="shared" si="0"/>
        <v>655</v>
      </c>
      <c r="E27" s="11">
        <f t="shared" si="1"/>
        <v>0</v>
      </c>
      <c r="F27" s="11">
        <f t="shared" si="2"/>
        <v>-131000000</v>
      </c>
      <c r="G27" s="11"/>
    </row>
    <row r="28" spans="1:12">
      <c r="A28" s="11" t="s">
        <v>378</v>
      </c>
      <c r="B28" s="3">
        <v>2000000</v>
      </c>
      <c r="C28" s="11">
        <v>1</v>
      </c>
      <c r="D28" s="11">
        <f t="shared" si="0"/>
        <v>654</v>
      </c>
      <c r="E28" s="11">
        <f t="shared" si="1"/>
        <v>1</v>
      </c>
      <c r="F28" s="11">
        <f t="shared" si="2"/>
        <v>1306000000</v>
      </c>
      <c r="G28" s="11"/>
    </row>
    <row r="29" spans="1:12">
      <c r="A29" s="11" t="s">
        <v>377</v>
      </c>
      <c r="B29" s="3">
        <v>-7000800</v>
      </c>
      <c r="C29" s="11">
        <v>1</v>
      </c>
      <c r="D29" s="11">
        <f t="shared" si="0"/>
        <v>653</v>
      </c>
      <c r="E29" s="11">
        <f t="shared" si="1"/>
        <v>0</v>
      </c>
      <c r="F29" s="11">
        <f t="shared" si="2"/>
        <v>-4571522400</v>
      </c>
      <c r="G29" s="11"/>
    </row>
    <row r="30" spans="1:12">
      <c r="A30" s="23" t="s">
        <v>54</v>
      </c>
      <c r="B30" s="3">
        <v>-3000900</v>
      </c>
      <c r="C30" s="11">
        <v>1</v>
      </c>
      <c r="D30" s="11">
        <f t="shared" si="0"/>
        <v>652</v>
      </c>
      <c r="E30" s="11">
        <f t="shared" si="1"/>
        <v>0</v>
      </c>
      <c r="F30" s="11">
        <f t="shared" si="2"/>
        <v>-1956586800</v>
      </c>
      <c r="G30" s="11"/>
    </row>
    <row r="31" spans="1:12">
      <c r="A31" s="11" t="s">
        <v>55</v>
      </c>
      <c r="B31" s="3">
        <v>-1695900</v>
      </c>
      <c r="C31" s="11">
        <v>3</v>
      </c>
      <c r="D31" s="11">
        <f t="shared" si="0"/>
        <v>651</v>
      </c>
      <c r="E31" s="11">
        <f t="shared" si="1"/>
        <v>0</v>
      </c>
      <c r="F31" s="11">
        <f t="shared" si="2"/>
        <v>-1104030900</v>
      </c>
      <c r="G31" s="11"/>
    </row>
    <row r="32" spans="1:12">
      <c r="A32" s="11" t="s">
        <v>376</v>
      </c>
      <c r="B32" s="3">
        <v>994300</v>
      </c>
      <c r="C32" s="11">
        <v>6</v>
      </c>
      <c r="D32" s="11">
        <f t="shared" si="0"/>
        <v>648</v>
      </c>
      <c r="E32" s="11">
        <f t="shared" si="1"/>
        <v>1</v>
      </c>
      <c r="F32" s="11">
        <f t="shared" si="2"/>
        <v>643312100</v>
      </c>
      <c r="G32" s="11"/>
    </row>
    <row r="33" spans="1:7">
      <c r="A33" s="11" t="s">
        <v>374</v>
      </c>
      <c r="B33" s="3">
        <v>35091</v>
      </c>
      <c r="C33" s="11">
        <v>1</v>
      </c>
      <c r="D33" s="11">
        <f t="shared" si="0"/>
        <v>642</v>
      </c>
      <c r="E33" s="11">
        <f t="shared" si="1"/>
        <v>1</v>
      </c>
      <c r="F33" s="11">
        <f t="shared" si="2"/>
        <v>22493331</v>
      </c>
      <c r="G33" s="11" t="s">
        <v>375</v>
      </c>
    </row>
    <row r="34" spans="1:7">
      <c r="A34" s="11" t="s">
        <v>373</v>
      </c>
      <c r="B34" s="3">
        <v>-850000</v>
      </c>
      <c r="C34" s="11">
        <v>8</v>
      </c>
      <c r="D34" s="11">
        <f t="shared" si="0"/>
        <v>641</v>
      </c>
      <c r="E34" s="11">
        <f t="shared" si="1"/>
        <v>0</v>
      </c>
      <c r="F34" s="11">
        <f t="shared" si="2"/>
        <v>-544850000</v>
      </c>
      <c r="G34" s="11"/>
    </row>
    <row r="35" spans="1:7">
      <c r="A35" s="23" t="s">
        <v>372</v>
      </c>
      <c r="B35" s="3">
        <v>-190500</v>
      </c>
      <c r="C35" s="11">
        <v>1</v>
      </c>
      <c r="D35" s="11">
        <f t="shared" si="0"/>
        <v>633</v>
      </c>
      <c r="E35" s="11">
        <f t="shared" si="1"/>
        <v>0</v>
      </c>
      <c r="F35" s="11">
        <f t="shared" si="2"/>
        <v>-120586500</v>
      </c>
      <c r="G35" s="11"/>
    </row>
    <row r="36" spans="1:7">
      <c r="A36" s="37" t="s">
        <v>80</v>
      </c>
      <c r="B36" s="3">
        <v>200000</v>
      </c>
      <c r="C36" s="11">
        <v>0</v>
      </c>
      <c r="D36" s="11">
        <f t="shared" si="0"/>
        <v>632</v>
      </c>
      <c r="E36" s="11">
        <f t="shared" si="1"/>
        <v>1</v>
      </c>
      <c r="F36" s="11">
        <f t="shared" si="2"/>
        <v>126200000</v>
      </c>
      <c r="G36" s="11"/>
    </row>
    <row r="37" spans="1:7">
      <c r="A37" s="11" t="s">
        <v>80</v>
      </c>
      <c r="B37" s="3">
        <v>-200000</v>
      </c>
      <c r="C37" s="11">
        <v>22</v>
      </c>
      <c r="D37" s="11">
        <f t="shared" si="0"/>
        <v>632</v>
      </c>
      <c r="E37" s="11">
        <f t="shared" si="1"/>
        <v>0</v>
      </c>
      <c r="F37" s="11">
        <f t="shared" si="2"/>
        <v>-126400000</v>
      </c>
      <c r="G37" s="11"/>
    </row>
    <row r="38" spans="1:7">
      <c r="A38" s="23" t="s">
        <v>371</v>
      </c>
      <c r="B38" s="3">
        <v>300806</v>
      </c>
      <c r="C38" s="11">
        <v>1</v>
      </c>
      <c r="D38" s="11">
        <f t="shared" si="0"/>
        <v>610</v>
      </c>
      <c r="E38" s="11">
        <f t="shared" si="1"/>
        <v>1</v>
      </c>
      <c r="F38" s="11">
        <f t="shared" si="2"/>
        <v>183190854</v>
      </c>
      <c r="G38" s="11" t="s">
        <v>395</v>
      </c>
    </row>
    <row r="39" spans="1:7">
      <c r="A39" s="11" t="s">
        <v>370</v>
      </c>
      <c r="B39" s="3">
        <v>-95000</v>
      </c>
      <c r="C39" s="11">
        <v>0</v>
      </c>
      <c r="D39" s="11">
        <f t="shared" si="0"/>
        <v>609</v>
      </c>
      <c r="E39" s="11">
        <f t="shared" si="1"/>
        <v>0</v>
      </c>
      <c r="F39" s="11">
        <f t="shared" si="2"/>
        <v>-57855000</v>
      </c>
      <c r="G39" s="11"/>
    </row>
    <row r="40" spans="1:7">
      <c r="A40" s="11" t="s">
        <v>370</v>
      </c>
      <c r="B40" s="3">
        <v>-88103</v>
      </c>
      <c r="C40" s="11">
        <v>5</v>
      </c>
      <c r="D40" s="11">
        <f t="shared" si="0"/>
        <v>609</v>
      </c>
      <c r="E40" s="11">
        <f t="shared" si="1"/>
        <v>0</v>
      </c>
      <c r="F40" s="11">
        <f t="shared" si="2"/>
        <v>-53654727</v>
      </c>
      <c r="G40" s="11"/>
    </row>
    <row r="41" spans="1:7">
      <c r="A41" s="11" t="s">
        <v>369</v>
      </c>
      <c r="B41" s="3">
        <v>-120000</v>
      </c>
      <c r="C41" s="11">
        <v>22</v>
      </c>
      <c r="D41" s="11">
        <f t="shared" si="0"/>
        <v>604</v>
      </c>
      <c r="E41" s="11">
        <f t="shared" si="1"/>
        <v>0</v>
      </c>
      <c r="F41" s="11">
        <f t="shared" si="2"/>
        <v>-72480000</v>
      </c>
      <c r="G41" s="11"/>
    </row>
    <row r="42" spans="1:7">
      <c r="A42" s="11" t="s">
        <v>368</v>
      </c>
      <c r="B42" s="3">
        <v>1000204</v>
      </c>
      <c r="C42" s="11">
        <v>4</v>
      </c>
      <c r="D42" s="11">
        <f t="shared" si="0"/>
        <v>582</v>
      </c>
      <c r="E42" s="11">
        <f t="shared" si="1"/>
        <v>1</v>
      </c>
      <c r="F42" s="11">
        <f t="shared" si="2"/>
        <v>581118524</v>
      </c>
      <c r="G42" s="11" t="s">
        <v>396</v>
      </c>
    </row>
    <row r="43" spans="1:7">
      <c r="A43" s="11" t="s">
        <v>367</v>
      </c>
      <c r="B43" s="3">
        <v>-80000</v>
      </c>
      <c r="C43" s="11">
        <v>4</v>
      </c>
      <c r="D43" s="11">
        <f t="shared" si="0"/>
        <v>578</v>
      </c>
      <c r="E43" s="11">
        <f t="shared" si="1"/>
        <v>0</v>
      </c>
      <c r="F43" s="11">
        <f t="shared" si="2"/>
        <v>-46240000</v>
      </c>
      <c r="G43" s="11"/>
    </row>
    <row r="44" spans="1:7">
      <c r="A44" s="11" t="s">
        <v>366</v>
      </c>
      <c r="B44" s="3">
        <v>-211029</v>
      </c>
      <c r="C44" s="11">
        <v>1</v>
      </c>
      <c r="D44" s="11">
        <f t="shared" si="0"/>
        <v>574</v>
      </c>
      <c r="E44" s="11">
        <f t="shared" si="1"/>
        <v>0</v>
      </c>
      <c r="F44" s="11">
        <f t="shared" si="2"/>
        <v>-121130646</v>
      </c>
      <c r="G44" s="11"/>
    </row>
    <row r="45" spans="1:7">
      <c r="A45" s="11" t="s">
        <v>365</v>
      </c>
      <c r="B45" s="3">
        <v>-200000</v>
      </c>
      <c r="C45" s="11">
        <v>1</v>
      </c>
      <c r="D45" s="11">
        <f t="shared" si="0"/>
        <v>573</v>
      </c>
      <c r="E45" s="11">
        <f t="shared" si="1"/>
        <v>0</v>
      </c>
      <c r="F45" s="11">
        <f t="shared" si="2"/>
        <v>-114600000</v>
      </c>
      <c r="G45" s="11"/>
    </row>
    <row r="46" spans="1:7">
      <c r="A46" s="11" t="s">
        <v>364</v>
      </c>
      <c r="B46" s="3">
        <v>-95000</v>
      </c>
      <c r="C46" s="11">
        <v>2</v>
      </c>
      <c r="D46" s="11">
        <f t="shared" si="0"/>
        <v>572</v>
      </c>
      <c r="E46" s="11">
        <f t="shared" si="1"/>
        <v>0</v>
      </c>
      <c r="F46" s="11">
        <f t="shared" si="2"/>
        <v>-54340000</v>
      </c>
      <c r="G46" s="11"/>
    </row>
    <row r="47" spans="1:7">
      <c r="A47" s="11" t="s">
        <v>363</v>
      </c>
      <c r="B47" s="3">
        <v>-45000</v>
      </c>
      <c r="C47" s="11">
        <v>0</v>
      </c>
      <c r="D47" s="11">
        <f t="shared" si="0"/>
        <v>570</v>
      </c>
      <c r="E47" s="11">
        <f t="shared" si="1"/>
        <v>0</v>
      </c>
      <c r="F47" s="11">
        <f t="shared" si="2"/>
        <v>-25650000</v>
      </c>
      <c r="G47" s="11"/>
    </row>
    <row r="48" spans="1:7">
      <c r="A48" s="11" t="s">
        <v>363</v>
      </c>
      <c r="B48" s="3">
        <v>-64180</v>
      </c>
      <c r="C48" s="11">
        <v>3</v>
      </c>
      <c r="D48" s="11">
        <f t="shared" si="0"/>
        <v>570</v>
      </c>
      <c r="E48" s="11">
        <f t="shared" si="1"/>
        <v>0</v>
      </c>
      <c r="F48" s="11">
        <f t="shared" si="2"/>
        <v>-36582600</v>
      </c>
      <c r="G48" s="11"/>
    </row>
    <row r="49" spans="1:7">
      <c r="A49" s="11" t="s">
        <v>362</v>
      </c>
      <c r="B49" s="3">
        <v>-27484</v>
      </c>
      <c r="C49" s="11">
        <v>1</v>
      </c>
      <c r="D49" s="11">
        <f t="shared" si="0"/>
        <v>567</v>
      </c>
      <c r="E49" s="11">
        <f t="shared" si="1"/>
        <v>0</v>
      </c>
      <c r="F49" s="11">
        <f t="shared" si="2"/>
        <v>-15583428</v>
      </c>
      <c r="G49" s="11"/>
    </row>
    <row r="50" spans="1:7">
      <c r="A50" s="11" t="s">
        <v>361</v>
      </c>
      <c r="B50" s="3">
        <v>-141000</v>
      </c>
      <c r="C50" s="11">
        <v>0</v>
      </c>
      <c r="D50" s="11">
        <f t="shared" si="0"/>
        <v>566</v>
      </c>
      <c r="E50" s="11">
        <f t="shared" si="1"/>
        <v>0</v>
      </c>
      <c r="F50" s="11">
        <f t="shared" si="2"/>
        <v>-79806000</v>
      </c>
      <c r="G50" s="11"/>
    </row>
    <row r="51" spans="1:7">
      <c r="A51" s="11" t="s">
        <v>361</v>
      </c>
      <c r="B51" s="3">
        <v>-26746</v>
      </c>
      <c r="C51" s="11">
        <v>1</v>
      </c>
      <c r="D51" s="11">
        <f t="shared" si="0"/>
        <v>566</v>
      </c>
      <c r="E51" s="11">
        <f t="shared" si="1"/>
        <v>0</v>
      </c>
      <c r="F51" s="11">
        <f t="shared" si="2"/>
        <v>-15138236</v>
      </c>
      <c r="G51" s="11"/>
    </row>
    <row r="52" spans="1:7">
      <c r="A52" s="11" t="s">
        <v>360</v>
      </c>
      <c r="B52" s="3">
        <v>-53300</v>
      </c>
      <c r="C52" s="11">
        <v>1</v>
      </c>
      <c r="D52" s="11">
        <f t="shared" si="0"/>
        <v>565</v>
      </c>
      <c r="E52" s="11">
        <f t="shared" si="1"/>
        <v>0</v>
      </c>
      <c r="F52" s="11">
        <f t="shared" si="2"/>
        <v>-30114500</v>
      </c>
      <c r="G52" s="11"/>
    </row>
    <row r="53" spans="1:7">
      <c r="A53" s="11" t="s">
        <v>126</v>
      </c>
      <c r="B53" s="3">
        <v>1000000</v>
      </c>
      <c r="C53" s="11">
        <v>6</v>
      </c>
      <c r="D53" s="11">
        <f t="shared" si="0"/>
        <v>564</v>
      </c>
      <c r="E53" s="11">
        <f t="shared" si="1"/>
        <v>1</v>
      </c>
      <c r="F53" s="11">
        <f t="shared" si="2"/>
        <v>563000000</v>
      </c>
      <c r="G53" s="11"/>
    </row>
    <row r="54" spans="1:7">
      <c r="A54" s="11" t="s">
        <v>359</v>
      </c>
      <c r="B54" s="3">
        <v>-21000</v>
      </c>
      <c r="C54" s="11">
        <v>1</v>
      </c>
      <c r="D54" s="11">
        <f t="shared" si="0"/>
        <v>558</v>
      </c>
      <c r="E54" s="11">
        <f t="shared" si="1"/>
        <v>0</v>
      </c>
      <c r="F54" s="11">
        <f t="shared" si="2"/>
        <v>-11718000</v>
      </c>
      <c r="G54" s="11"/>
    </row>
    <row r="55" spans="1:7">
      <c r="A55" s="11" t="s">
        <v>131</v>
      </c>
      <c r="B55" s="3">
        <v>-980500</v>
      </c>
      <c r="C55" s="11">
        <v>0</v>
      </c>
      <c r="D55" s="11">
        <f t="shared" si="0"/>
        <v>557</v>
      </c>
      <c r="E55" s="11">
        <f t="shared" si="1"/>
        <v>0</v>
      </c>
      <c r="F55" s="11">
        <f t="shared" si="2"/>
        <v>-546138500</v>
      </c>
      <c r="G55" s="11"/>
    </row>
    <row r="56" spans="1:7">
      <c r="A56" s="11" t="s">
        <v>131</v>
      </c>
      <c r="B56" s="3">
        <v>-45000</v>
      </c>
      <c r="C56" s="11">
        <v>13</v>
      </c>
      <c r="D56" s="11">
        <f t="shared" si="0"/>
        <v>557</v>
      </c>
      <c r="E56" s="11">
        <f t="shared" si="1"/>
        <v>0</v>
      </c>
      <c r="F56" s="11">
        <f t="shared" si="2"/>
        <v>-25065000</v>
      </c>
      <c r="G56" s="11"/>
    </row>
    <row r="57" spans="1:7">
      <c r="A57" s="11" t="s">
        <v>358</v>
      </c>
      <c r="B57" s="3">
        <v>3005189</v>
      </c>
      <c r="C57" s="11">
        <v>0</v>
      </c>
      <c r="D57" s="11">
        <f t="shared" si="0"/>
        <v>544</v>
      </c>
      <c r="E57" s="11">
        <f t="shared" si="1"/>
        <v>1</v>
      </c>
      <c r="F57" s="11">
        <f t="shared" si="2"/>
        <v>1631817627</v>
      </c>
      <c r="G57" s="11" t="s">
        <v>397</v>
      </c>
    </row>
    <row r="58" spans="1:7">
      <c r="A58" s="11" t="s">
        <v>358</v>
      </c>
      <c r="B58" s="3">
        <v>2000000</v>
      </c>
      <c r="C58" s="11">
        <v>1</v>
      </c>
      <c r="D58" s="11">
        <f t="shared" si="0"/>
        <v>544</v>
      </c>
      <c r="E58" s="11">
        <f t="shared" si="1"/>
        <v>1</v>
      </c>
      <c r="F58" s="11">
        <f t="shared" si="2"/>
        <v>1086000000</v>
      </c>
      <c r="G58" s="11"/>
    </row>
    <row r="59" spans="1:7">
      <c r="A59" s="11" t="s">
        <v>143</v>
      </c>
      <c r="B59" s="3">
        <v>2000000</v>
      </c>
      <c r="C59" s="11">
        <v>0</v>
      </c>
      <c r="D59" s="11">
        <f t="shared" si="0"/>
        <v>543</v>
      </c>
      <c r="E59" s="11">
        <f t="shared" si="1"/>
        <v>1</v>
      </c>
      <c r="F59" s="11">
        <f t="shared" si="2"/>
        <v>1084000000</v>
      </c>
      <c r="G59" s="11"/>
    </row>
    <row r="60" spans="1:7">
      <c r="A60" s="11" t="s">
        <v>143</v>
      </c>
      <c r="B60" s="3">
        <v>-7001500</v>
      </c>
      <c r="C60" s="11">
        <v>24</v>
      </c>
      <c r="D60" s="11">
        <f t="shared" si="0"/>
        <v>543</v>
      </c>
      <c r="E60" s="11">
        <f t="shared" si="1"/>
        <v>0</v>
      </c>
      <c r="F60" s="11">
        <f t="shared" si="2"/>
        <v>-3801814500</v>
      </c>
      <c r="G60" s="11"/>
    </row>
    <row r="61" spans="1:7">
      <c r="A61" s="11" t="s">
        <v>357</v>
      </c>
      <c r="B61" s="3">
        <v>3000000</v>
      </c>
      <c r="C61" s="11">
        <v>1</v>
      </c>
      <c r="D61" s="11">
        <f t="shared" si="0"/>
        <v>519</v>
      </c>
      <c r="E61" s="11">
        <f t="shared" si="1"/>
        <v>1</v>
      </c>
      <c r="F61" s="11">
        <f t="shared" si="2"/>
        <v>1554000000</v>
      </c>
      <c r="G61" s="11"/>
    </row>
    <row r="62" spans="1:7">
      <c r="A62" s="11" t="s">
        <v>356</v>
      </c>
      <c r="B62" s="3">
        <v>-27109</v>
      </c>
      <c r="C62" s="11">
        <v>0</v>
      </c>
      <c r="D62" s="11">
        <f t="shared" si="0"/>
        <v>518</v>
      </c>
      <c r="E62" s="11">
        <f t="shared" si="1"/>
        <v>0</v>
      </c>
      <c r="F62" s="11">
        <f t="shared" si="2"/>
        <v>-14042462</v>
      </c>
      <c r="G62" s="11"/>
    </row>
    <row r="63" spans="1:7">
      <c r="A63" s="11" t="s">
        <v>356</v>
      </c>
      <c r="B63" s="3">
        <v>-32989</v>
      </c>
      <c r="C63" s="11">
        <v>0</v>
      </c>
      <c r="D63" s="11">
        <f t="shared" si="0"/>
        <v>518</v>
      </c>
      <c r="E63" s="11">
        <f t="shared" si="1"/>
        <v>0</v>
      </c>
      <c r="F63" s="11">
        <f t="shared" si="2"/>
        <v>-17088302</v>
      </c>
      <c r="G63" s="11"/>
    </row>
    <row r="64" spans="1:7">
      <c r="A64" s="11" t="s">
        <v>356</v>
      </c>
      <c r="B64" s="3">
        <v>3000000</v>
      </c>
      <c r="C64" s="11">
        <v>0</v>
      </c>
      <c r="D64" s="11">
        <f t="shared" si="0"/>
        <v>518</v>
      </c>
      <c r="E64" s="11">
        <f t="shared" si="1"/>
        <v>1</v>
      </c>
      <c r="F64" s="11">
        <f t="shared" si="2"/>
        <v>1551000000</v>
      </c>
      <c r="G64" s="11"/>
    </row>
    <row r="65" spans="1:7">
      <c r="A65" s="11" t="s">
        <v>356</v>
      </c>
      <c r="B65" s="3">
        <v>2970000</v>
      </c>
      <c r="C65" s="11">
        <v>0</v>
      </c>
      <c r="D65" s="11">
        <f t="shared" si="0"/>
        <v>518</v>
      </c>
      <c r="E65" s="11">
        <f t="shared" si="1"/>
        <v>1</v>
      </c>
      <c r="F65" s="11">
        <f t="shared" si="2"/>
        <v>1535490000</v>
      </c>
      <c r="G65" s="11"/>
    </row>
    <row r="66" spans="1:7">
      <c r="A66" s="11" t="s">
        <v>356</v>
      </c>
      <c r="B66" s="3">
        <v>1000000</v>
      </c>
      <c r="C66" s="11">
        <v>0</v>
      </c>
      <c r="D66" s="11">
        <f t="shared" ref="D66:D129" si="3">D67+C66</f>
        <v>518</v>
      </c>
      <c r="E66" s="11">
        <f t="shared" si="1"/>
        <v>1</v>
      </c>
      <c r="F66" s="11">
        <f t="shared" si="2"/>
        <v>517000000</v>
      </c>
      <c r="G66" s="11"/>
    </row>
    <row r="67" spans="1:7">
      <c r="A67" s="11" t="s">
        <v>356</v>
      </c>
      <c r="B67" s="3">
        <v>30000</v>
      </c>
      <c r="C67" s="11">
        <v>1</v>
      </c>
      <c r="D67" s="11">
        <f t="shared" si="3"/>
        <v>518</v>
      </c>
      <c r="E67" s="11">
        <f t="shared" ref="E67:E130" si="4">IF(B67&gt;0,1,0)</f>
        <v>1</v>
      </c>
      <c r="F67" s="11">
        <f t="shared" ref="F67:F226" si="5">B67*(D67-E67)</f>
        <v>15510000</v>
      </c>
      <c r="G67" s="11"/>
    </row>
    <row r="68" spans="1:7">
      <c r="A68" s="11" t="s">
        <v>355</v>
      </c>
      <c r="B68" s="3">
        <v>30000000</v>
      </c>
      <c r="C68" s="11">
        <v>1</v>
      </c>
      <c r="D68" s="11">
        <f t="shared" si="3"/>
        <v>517</v>
      </c>
      <c r="E68" s="11">
        <f t="shared" si="4"/>
        <v>1</v>
      </c>
      <c r="F68" s="11">
        <f t="shared" si="5"/>
        <v>15480000000</v>
      </c>
      <c r="G68" s="11"/>
    </row>
    <row r="69" spans="1:7">
      <c r="A69" s="11" t="s">
        <v>196</v>
      </c>
      <c r="B69" s="3">
        <v>-200000</v>
      </c>
      <c r="C69" s="11">
        <v>0</v>
      </c>
      <c r="D69" s="11">
        <f t="shared" si="3"/>
        <v>516</v>
      </c>
      <c r="E69" s="11">
        <f t="shared" si="4"/>
        <v>0</v>
      </c>
      <c r="F69" s="11">
        <f t="shared" si="5"/>
        <v>-103200000</v>
      </c>
      <c r="G69" s="11"/>
    </row>
    <row r="70" spans="1:7">
      <c r="A70" s="11" t="s">
        <v>354</v>
      </c>
      <c r="B70" s="3">
        <v>1400000</v>
      </c>
      <c r="C70" s="11">
        <v>0</v>
      </c>
      <c r="D70" s="11">
        <f t="shared" si="3"/>
        <v>516</v>
      </c>
      <c r="E70" s="11">
        <f t="shared" si="4"/>
        <v>1</v>
      </c>
      <c r="F70" s="11">
        <f t="shared" si="5"/>
        <v>721000000</v>
      </c>
      <c r="G70" s="11"/>
    </row>
    <row r="71" spans="1:7">
      <c r="A71" s="11" t="s">
        <v>354</v>
      </c>
      <c r="B71" s="3">
        <v>2600000</v>
      </c>
      <c r="C71" s="11">
        <v>0</v>
      </c>
      <c r="D71" s="11">
        <f t="shared" si="3"/>
        <v>516</v>
      </c>
      <c r="E71" s="11">
        <f t="shared" si="4"/>
        <v>1</v>
      </c>
      <c r="F71" s="11">
        <f t="shared" si="5"/>
        <v>1339000000</v>
      </c>
      <c r="G71" s="11"/>
    </row>
    <row r="72" spans="1:7">
      <c r="A72" s="11" t="s">
        <v>354</v>
      </c>
      <c r="B72" s="3">
        <v>-1000000</v>
      </c>
      <c r="C72" s="11">
        <v>2</v>
      </c>
      <c r="D72" s="11">
        <f t="shared" si="3"/>
        <v>516</v>
      </c>
      <c r="E72" s="11">
        <f t="shared" si="4"/>
        <v>0</v>
      </c>
      <c r="F72" s="11">
        <f t="shared" si="5"/>
        <v>-516000000</v>
      </c>
      <c r="G72" s="11"/>
    </row>
    <row r="73" spans="1:7">
      <c r="A73" s="11" t="s">
        <v>353</v>
      </c>
      <c r="B73" s="3">
        <v>15000000</v>
      </c>
      <c r="C73" s="11">
        <v>5</v>
      </c>
      <c r="D73" s="11">
        <f t="shared" si="3"/>
        <v>514</v>
      </c>
      <c r="E73" s="11">
        <f t="shared" si="4"/>
        <v>1</v>
      </c>
      <c r="F73" s="11">
        <f t="shared" si="5"/>
        <v>7695000000</v>
      </c>
      <c r="G73" s="11"/>
    </row>
    <row r="74" spans="1:7">
      <c r="A74" s="23" t="s">
        <v>277</v>
      </c>
      <c r="B74" s="3">
        <v>-15004200</v>
      </c>
      <c r="C74" s="11">
        <v>2</v>
      </c>
      <c r="D74" s="11">
        <f t="shared" si="3"/>
        <v>509</v>
      </c>
      <c r="E74" s="11">
        <f t="shared" si="4"/>
        <v>0</v>
      </c>
      <c r="F74" s="11">
        <f t="shared" si="5"/>
        <v>-7637137800</v>
      </c>
      <c r="G74" s="11"/>
    </row>
    <row r="75" spans="1:7">
      <c r="A75" s="11" t="s">
        <v>275</v>
      </c>
      <c r="B75" s="3">
        <v>-3000000</v>
      </c>
      <c r="C75" s="11">
        <v>0</v>
      </c>
      <c r="D75" s="11">
        <f t="shared" si="3"/>
        <v>507</v>
      </c>
      <c r="E75" s="11">
        <f t="shared" si="4"/>
        <v>0</v>
      </c>
      <c r="F75" s="11">
        <f t="shared" si="5"/>
        <v>-1521000000</v>
      </c>
      <c r="G75" s="11"/>
    </row>
    <row r="76" spans="1:7">
      <c r="A76" s="11" t="s">
        <v>275</v>
      </c>
      <c r="B76" s="3">
        <v>-200000</v>
      </c>
      <c r="C76" s="11">
        <v>0</v>
      </c>
      <c r="D76" s="11">
        <f t="shared" si="3"/>
        <v>507</v>
      </c>
      <c r="E76" s="11">
        <f t="shared" si="4"/>
        <v>0</v>
      </c>
      <c r="F76" s="11">
        <f t="shared" si="5"/>
        <v>-101400000</v>
      </c>
      <c r="G76" s="11"/>
    </row>
    <row r="77" spans="1:7">
      <c r="A77" s="23" t="s">
        <v>275</v>
      </c>
      <c r="B77" s="3">
        <v>-12003000</v>
      </c>
      <c r="C77" s="11">
        <v>4</v>
      </c>
      <c r="D77" s="11">
        <f t="shared" si="3"/>
        <v>507</v>
      </c>
      <c r="E77" s="11">
        <f t="shared" si="4"/>
        <v>0</v>
      </c>
      <c r="F77" s="11">
        <f t="shared" si="5"/>
        <v>-6085521000</v>
      </c>
      <c r="G77" s="11"/>
    </row>
    <row r="78" spans="1:7">
      <c r="A78" s="23" t="s">
        <v>228</v>
      </c>
      <c r="B78" s="3">
        <v>-3000900</v>
      </c>
      <c r="C78" s="11">
        <v>5</v>
      </c>
      <c r="D78" s="11">
        <f t="shared" si="3"/>
        <v>503</v>
      </c>
      <c r="E78" s="11">
        <f t="shared" si="4"/>
        <v>0</v>
      </c>
      <c r="F78" s="11">
        <f t="shared" si="5"/>
        <v>-1509452700</v>
      </c>
      <c r="G78" s="11"/>
    </row>
    <row r="79" spans="1:7">
      <c r="A79" s="11" t="s">
        <v>352</v>
      </c>
      <c r="B79" s="3">
        <v>23000000</v>
      </c>
      <c r="C79" s="11">
        <v>5</v>
      </c>
      <c r="D79" s="11">
        <f t="shared" si="3"/>
        <v>498</v>
      </c>
      <c r="E79" s="11">
        <f t="shared" si="4"/>
        <v>1</v>
      </c>
      <c r="F79" s="11">
        <f t="shared" si="5"/>
        <v>11431000000</v>
      </c>
      <c r="G79" s="11"/>
    </row>
    <row r="80" spans="1:7">
      <c r="A80" s="23" t="s">
        <v>237</v>
      </c>
      <c r="B80" s="3">
        <v>-600500</v>
      </c>
      <c r="C80" s="11">
        <v>0</v>
      </c>
      <c r="D80" s="11">
        <f t="shared" si="3"/>
        <v>493</v>
      </c>
      <c r="E80" s="11">
        <f t="shared" si="4"/>
        <v>0</v>
      </c>
      <c r="F80" s="11">
        <f t="shared" si="5"/>
        <v>-296046500</v>
      </c>
      <c r="G80" s="11"/>
    </row>
    <row r="81" spans="1:10">
      <c r="A81" s="20" t="s">
        <v>237</v>
      </c>
      <c r="B81" s="3">
        <v>-200000</v>
      </c>
      <c r="C81" s="11">
        <v>1</v>
      </c>
      <c r="D81" s="11">
        <f t="shared" si="3"/>
        <v>493</v>
      </c>
      <c r="E81" s="11">
        <f t="shared" si="4"/>
        <v>0</v>
      </c>
      <c r="F81" s="11">
        <f t="shared" si="5"/>
        <v>-98600000</v>
      </c>
      <c r="G81" s="11"/>
    </row>
    <row r="82" spans="1:10">
      <c r="A82" s="11" t="s">
        <v>241</v>
      </c>
      <c r="B82" s="3">
        <v>283221</v>
      </c>
      <c r="C82" s="11">
        <v>0</v>
      </c>
      <c r="D82" s="11">
        <f t="shared" si="3"/>
        <v>492</v>
      </c>
      <c r="E82" s="11">
        <f t="shared" si="4"/>
        <v>1</v>
      </c>
      <c r="F82" s="11">
        <f t="shared" si="5"/>
        <v>139061511</v>
      </c>
      <c r="G82" s="11" t="s">
        <v>242</v>
      </c>
    </row>
    <row r="83" spans="1:10">
      <c r="A83" s="11" t="s">
        <v>241</v>
      </c>
      <c r="B83" s="3">
        <v>-200000</v>
      </c>
      <c r="C83" s="11">
        <v>2</v>
      </c>
      <c r="D83" s="11">
        <f t="shared" si="3"/>
        <v>492</v>
      </c>
      <c r="E83" s="11">
        <f t="shared" si="4"/>
        <v>0</v>
      </c>
      <c r="F83" s="11">
        <f t="shared" si="5"/>
        <v>-98400000</v>
      </c>
      <c r="G83" s="11"/>
    </row>
    <row r="84" spans="1:10">
      <c r="A84" s="11" t="s">
        <v>351</v>
      </c>
      <c r="B84" s="3">
        <v>2000000</v>
      </c>
      <c r="C84" s="11">
        <v>3</v>
      </c>
      <c r="D84" s="11">
        <f t="shared" si="3"/>
        <v>490</v>
      </c>
      <c r="E84" s="11">
        <f t="shared" si="4"/>
        <v>1</v>
      </c>
      <c r="F84" s="11">
        <f t="shared" si="5"/>
        <v>978000000</v>
      </c>
      <c r="G84" s="11"/>
    </row>
    <row r="85" spans="1:10">
      <c r="A85" s="11" t="s">
        <v>245</v>
      </c>
      <c r="B85" s="3">
        <v>-200000</v>
      </c>
      <c r="C85" s="11">
        <v>6</v>
      </c>
      <c r="D85" s="11">
        <f t="shared" si="3"/>
        <v>487</v>
      </c>
      <c r="E85" s="11">
        <f t="shared" si="4"/>
        <v>0</v>
      </c>
      <c r="F85" s="11">
        <f t="shared" si="5"/>
        <v>-97400000</v>
      </c>
      <c r="G85" s="11"/>
    </row>
    <row r="86" spans="1:10">
      <c r="A86" s="11" t="s">
        <v>350</v>
      </c>
      <c r="B86" s="3">
        <v>-200000</v>
      </c>
      <c r="C86" s="11">
        <v>2</v>
      </c>
      <c r="D86" s="11">
        <f t="shared" si="3"/>
        <v>481</v>
      </c>
      <c r="E86" s="11">
        <f t="shared" si="4"/>
        <v>0</v>
      </c>
      <c r="F86" s="11">
        <f t="shared" si="5"/>
        <v>-96200000</v>
      </c>
      <c r="G86" s="11"/>
    </row>
    <row r="87" spans="1:10">
      <c r="A87" s="11" t="s">
        <v>250</v>
      </c>
      <c r="B87" s="3">
        <v>-1325000</v>
      </c>
      <c r="C87" s="11">
        <v>15</v>
      </c>
      <c r="D87" s="11">
        <f t="shared" si="3"/>
        <v>479</v>
      </c>
      <c r="E87" s="11">
        <f t="shared" si="4"/>
        <v>0</v>
      </c>
      <c r="F87" s="11">
        <f t="shared" si="5"/>
        <v>-634675000</v>
      </c>
      <c r="G87" s="11"/>
    </row>
    <row r="88" spans="1:10">
      <c r="A88" s="11" t="s">
        <v>349</v>
      </c>
      <c r="B88" s="3">
        <v>-500000</v>
      </c>
      <c r="C88" s="11">
        <v>0</v>
      </c>
      <c r="D88" s="11">
        <f t="shared" si="3"/>
        <v>464</v>
      </c>
      <c r="E88" s="11">
        <f t="shared" si="4"/>
        <v>0</v>
      </c>
      <c r="F88" s="11">
        <f t="shared" si="5"/>
        <v>-232000000</v>
      </c>
      <c r="G88" s="11"/>
    </row>
    <row r="89" spans="1:10">
      <c r="A89" s="11" t="s">
        <v>348</v>
      </c>
      <c r="B89" s="3">
        <v>-120000</v>
      </c>
      <c r="C89" s="11">
        <v>2</v>
      </c>
      <c r="D89" s="11">
        <f t="shared" si="3"/>
        <v>464</v>
      </c>
      <c r="E89" s="11">
        <f t="shared" si="4"/>
        <v>0</v>
      </c>
      <c r="F89" s="11">
        <f t="shared" si="5"/>
        <v>-55680000</v>
      </c>
      <c r="G89" s="11"/>
    </row>
    <row r="90" spans="1:10">
      <c r="A90" s="11" t="s">
        <v>262</v>
      </c>
      <c r="B90" s="3">
        <v>428205</v>
      </c>
      <c r="C90" s="11">
        <v>3</v>
      </c>
      <c r="D90" s="11">
        <f t="shared" si="3"/>
        <v>462</v>
      </c>
      <c r="E90" s="11">
        <f t="shared" si="4"/>
        <v>1</v>
      </c>
      <c r="F90" s="11">
        <f t="shared" si="5"/>
        <v>197402505</v>
      </c>
      <c r="G90" s="11" t="s">
        <v>264</v>
      </c>
    </row>
    <row r="91" spans="1:10">
      <c r="A91" s="23" t="s">
        <v>263</v>
      </c>
      <c r="B91" s="3">
        <v>-3002000</v>
      </c>
      <c r="C91" s="11">
        <v>2</v>
      </c>
      <c r="D91" s="11">
        <f t="shared" si="3"/>
        <v>459</v>
      </c>
      <c r="E91" s="11">
        <f t="shared" si="4"/>
        <v>0</v>
      </c>
      <c r="F91" s="11">
        <f t="shared" si="5"/>
        <v>-1377918000</v>
      </c>
      <c r="G91" s="11" t="s">
        <v>337</v>
      </c>
    </row>
    <row r="92" spans="1:10">
      <c r="A92" s="23" t="s">
        <v>336</v>
      </c>
      <c r="B92" s="3">
        <v>-205000</v>
      </c>
      <c r="C92" s="11">
        <v>0</v>
      </c>
      <c r="D92" s="11">
        <f t="shared" si="3"/>
        <v>457</v>
      </c>
      <c r="E92" s="11">
        <f t="shared" si="4"/>
        <v>0</v>
      </c>
      <c r="F92" s="11">
        <f t="shared" si="5"/>
        <v>-93685000</v>
      </c>
      <c r="G92" s="11" t="s">
        <v>338</v>
      </c>
    </row>
    <row r="93" spans="1:10">
      <c r="A93" s="11" t="s">
        <v>334</v>
      </c>
      <c r="B93" s="3">
        <v>-350500</v>
      </c>
      <c r="C93" s="11">
        <v>11</v>
      </c>
      <c r="D93" s="11">
        <f t="shared" si="3"/>
        <v>457</v>
      </c>
      <c r="E93" s="11">
        <f t="shared" si="4"/>
        <v>0</v>
      </c>
      <c r="F93" s="11">
        <f t="shared" si="5"/>
        <v>-160178500</v>
      </c>
      <c r="G93" s="11" t="s">
        <v>335</v>
      </c>
    </row>
    <row r="94" spans="1:10">
      <c r="A94" s="11" t="s">
        <v>332</v>
      </c>
      <c r="B94" s="3">
        <v>1000000</v>
      </c>
      <c r="C94" s="11">
        <v>5</v>
      </c>
      <c r="D94" s="11">
        <f t="shared" si="3"/>
        <v>446</v>
      </c>
      <c r="E94" s="11">
        <f t="shared" si="4"/>
        <v>1</v>
      </c>
      <c r="F94" s="11">
        <f t="shared" si="5"/>
        <v>445000000</v>
      </c>
      <c r="G94" s="11" t="s">
        <v>333</v>
      </c>
    </row>
    <row r="95" spans="1:10">
      <c r="A95" s="11" t="s">
        <v>343</v>
      </c>
      <c r="B95" s="3">
        <v>9000000</v>
      </c>
      <c r="C95" s="11">
        <v>2</v>
      </c>
      <c r="D95" s="11">
        <f t="shared" si="3"/>
        <v>441</v>
      </c>
      <c r="E95" s="11">
        <f t="shared" si="4"/>
        <v>1</v>
      </c>
      <c r="F95" s="11">
        <f t="shared" si="5"/>
        <v>3960000000</v>
      </c>
      <c r="G95" s="11" t="s">
        <v>345</v>
      </c>
      <c r="J95" s="26"/>
    </row>
    <row r="96" spans="1:10">
      <c r="A96" s="11" t="s">
        <v>346</v>
      </c>
      <c r="B96" s="3">
        <v>-26000000</v>
      </c>
      <c r="C96" s="11">
        <v>0</v>
      </c>
      <c r="D96" s="11">
        <f t="shared" si="3"/>
        <v>439</v>
      </c>
      <c r="E96" s="11">
        <f t="shared" si="4"/>
        <v>0</v>
      </c>
      <c r="F96" s="11">
        <f t="shared" si="5"/>
        <v>-11414000000</v>
      </c>
      <c r="G96" s="11" t="s">
        <v>347</v>
      </c>
    </row>
    <row r="97" spans="1:9">
      <c r="A97" s="11" t="s">
        <v>346</v>
      </c>
      <c r="B97" s="3">
        <v>-26000000</v>
      </c>
      <c r="C97" s="11">
        <v>0</v>
      </c>
      <c r="D97" s="11">
        <f t="shared" si="3"/>
        <v>439</v>
      </c>
      <c r="E97" s="11">
        <f t="shared" si="4"/>
        <v>0</v>
      </c>
      <c r="F97" s="11">
        <f t="shared" si="5"/>
        <v>-11414000000</v>
      </c>
      <c r="G97" s="11"/>
    </row>
    <row r="98" spans="1:9">
      <c r="A98" s="11" t="s">
        <v>346</v>
      </c>
      <c r="B98" s="3">
        <v>26000000</v>
      </c>
      <c r="C98" s="11">
        <v>0</v>
      </c>
      <c r="D98" s="11">
        <f t="shared" si="3"/>
        <v>439</v>
      </c>
      <c r="E98" s="11">
        <f t="shared" si="4"/>
        <v>1</v>
      </c>
      <c r="F98" s="11">
        <f t="shared" si="5"/>
        <v>11388000000</v>
      </c>
      <c r="G98" s="11"/>
    </row>
    <row r="99" spans="1:9">
      <c r="A99" s="11" t="s">
        <v>346</v>
      </c>
      <c r="B99" s="3">
        <v>-200000</v>
      </c>
      <c r="C99" s="11">
        <v>2</v>
      </c>
      <c r="D99" s="11">
        <f t="shared" si="3"/>
        <v>439</v>
      </c>
      <c r="E99" s="11">
        <f t="shared" si="4"/>
        <v>0</v>
      </c>
      <c r="F99" s="11">
        <f t="shared" si="5"/>
        <v>-87800000</v>
      </c>
      <c r="G99" s="11"/>
      <c r="I99" t="s">
        <v>25</v>
      </c>
    </row>
    <row r="100" spans="1:9">
      <c r="A100" s="11" t="s">
        <v>398</v>
      </c>
      <c r="B100" s="3">
        <v>29200000</v>
      </c>
      <c r="C100" s="11">
        <v>5</v>
      </c>
      <c r="D100" s="11">
        <f t="shared" si="3"/>
        <v>437</v>
      </c>
      <c r="E100" s="11">
        <f t="shared" si="4"/>
        <v>1</v>
      </c>
      <c r="F100" s="11">
        <f t="shared" si="5"/>
        <v>12731200000</v>
      </c>
      <c r="G100" s="11"/>
    </row>
    <row r="101" spans="1:9">
      <c r="A101" s="11" t="s">
        <v>399</v>
      </c>
      <c r="B101" s="3">
        <v>399945</v>
      </c>
      <c r="C101" s="11">
        <v>1</v>
      </c>
      <c r="D101" s="11">
        <f t="shared" si="3"/>
        <v>432</v>
      </c>
      <c r="E101" s="11">
        <f t="shared" si="4"/>
        <v>1</v>
      </c>
      <c r="F101" s="11">
        <f t="shared" si="5"/>
        <v>172376295</v>
      </c>
      <c r="G101" s="11" t="s">
        <v>400</v>
      </c>
    </row>
    <row r="102" spans="1:9">
      <c r="A102" s="11" t="s">
        <v>401</v>
      </c>
      <c r="B102" s="3">
        <v>2000000</v>
      </c>
      <c r="C102" s="11">
        <v>1</v>
      </c>
      <c r="D102" s="11">
        <f t="shared" si="3"/>
        <v>431</v>
      </c>
      <c r="E102" s="11">
        <f t="shared" si="4"/>
        <v>1</v>
      </c>
      <c r="F102" s="11">
        <f t="shared" si="5"/>
        <v>860000000</v>
      </c>
      <c r="G102" s="11" t="s">
        <v>402</v>
      </c>
    </row>
    <row r="103" spans="1:9">
      <c r="A103" s="11" t="s">
        <v>409</v>
      </c>
      <c r="B103" s="3">
        <v>7500000</v>
      </c>
      <c r="C103" s="11">
        <v>0</v>
      </c>
      <c r="D103" s="11">
        <f t="shared" si="3"/>
        <v>430</v>
      </c>
      <c r="E103" s="11">
        <f t="shared" si="4"/>
        <v>1</v>
      </c>
      <c r="F103" s="11">
        <f t="shared" si="5"/>
        <v>3217500000</v>
      </c>
      <c r="G103" s="11" t="s">
        <v>410</v>
      </c>
    </row>
    <row r="104" spans="1:9">
      <c r="A104" s="11" t="s">
        <v>409</v>
      </c>
      <c r="B104" s="3">
        <v>-66000000</v>
      </c>
      <c r="C104" s="11">
        <v>0</v>
      </c>
      <c r="D104" s="11">
        <f t="shared" si="3"/>
        <v>430</v>
      </c>
      <c r="E104" s="11">
        <f t="shared" si="4"/>
        <v>0</v>
      </c>
      <c r="F104" s="11">
        <f t="shared" si="5"/>
        <v>-28380000000</v>
      </c>
      <c r="G104" s="11" t="s">
        <v>424</v>
      </c>
    </row>
    <row r="105" spans="1:9">
      <c r="A105" s="11" t="s">
        <v>409</v>
      </c>
      <c r="B105" s="3">
        <v>-145000</v>
      </c>
      <c r="C105" s="11">
        <v>2</v>
      </c>
      <c r="D105" s="11">
        <f t="shared" si="3"/>
        <v>430</v>
      </c>
      <c r="E105" s="11">
        <f t="shared" si="4"/>
        <v>0</v>
      </c>
      <c r="F105" s="11">
        <f t="shared" si="5"/>
        <v>-62350000</v>
      </c>
      <c r="G105" s="11" t="s">
        <v>425</v>
      </c>
    </row>
    <row r="106" spans="1:9">
      <c r="A106" s="11" t="s">
        <v>421</v>
      </c>
      <c r="B106" s="3">
        <v>6000000</v>
      </c>
      <c r="C106" s="11">
        <v>2</v>
      </c>
      <c r="D106" s="11">
        <f t="shared" si="3"/>
        <v>428</v>
      </c>
      <c r="E106" s="11">
        <f t="shared" si="4"/>
        <v>1</v>
      </c>
      <c r="F106" s="11">
        <f t="shared" si="5"/>
        <v>2562000000</v>
      </c>
      <c r="G106" s="11" t="s">
        <v>426</v>
      </c>
    </row>
    <row r="107" spans="1:9">
      <c r="A107" s="11" t="s">
        <v>434</v>
      </c>
      <c r="B107" s="3">
        <v>-6005900</v>
      </c>
      <c r="C107" s="11">
        <v>3</v>
      </c>
      <c r="D107" s="11">
        <f t="shared" si="3"/>
        <v>426</v>
      </c>
      <c r="E107" s="11">
        <f t="shared" si="4"/>
        <v>0</v>
      </c>
      <c r="F107" s="11">
        <f t="shared" si="5"/>
        <v>-2558513400</v>
      </c>
      <c r="G107" s="11" t="s">
        <v>436</v>
      </c>
    </row>
    <row r="108" spans="1:9">
      <c r="A108" s="11" t="s">
        <v>439</v>
      </c>
      <c r="B108" s="3">
        <v>6000000</v>
      </c>
      <c r="C108" s="11">
        <v>12</v>
      </c>
      <c r="D108" s="11">
        <f t="shared" si="3"/>
        <v>423</v>
      </c>
      <c r="E108" s="11">
        <f t="shared" si="4"/>
        <v>1</v>
      </c>
      <c r="F108" s="11">
        <f t="shared" si="5"/>
        <v>2532000000</v>
      </c>
      <c r="G108" s="11" t="s">
        <v>444</v>
      </c>
    </row>
    <row r="109" spans="1:9">
      <c r="A109" s="11" t="s">
        <v>458</v>
      </c>
      <c r="B109" s="3">
        <v>-120000</v>
      </c>
      <c r="C109" s="11">
        <v>1</v>
      </c>
      <c r="D109" s="11">
        <f t="shared" si="3"/>
        <v>411</v>
      </c>
      <c r="E109" s="11">
        <f t="shared" si="4"/>
        <v>0</v>
      </c>
      <c r="F109" s="11">
        <f t="shared" si="5"/>
        <v>-49320000</v>
      </c>
      <c r="G109" s="11" t="s">
        <v>459</v>
      </c>
    </row>
    <row r="110" spans="1:9">
      <c r="A110" s="11" t="s">
        <v>460</v>
      </c>
      <c r="B110" s="3">
        <v>4000000</v>
      </c>
      <c r="C110" s="11">
        <v>1</v>
      </c>
      <c r="D110" s="11">
        <f t="shared" si="3"/>
        <v>410</v>
      </c>
      <c r="E110" s="11">
        <f t="shared" si="4"/>
        <v>1</v>
      </c>
      <c r="F110" s="11">
        <f t="shared" si="5"/>
        <v>1636000000</v>
      </c>
      <c r="G110" s="11" t="s">
        <v>461</v>
      </c>
    </row>
    <row r="111" spans="1:9">
      <c r="A111" s="11" t="s">
        <v>465</v>
      </c>
      <c r="B111" s="3">
        <v>2800000</v>
      </c>
      <c r="C111" s="11">
        <v>4</v>
      </c>
      <c r="D111" s="11">
        <f t="shared" si="3"/>
        <v>409</v>
      </c>
      <c r="E111" s="11">
        <f t="shared" si="4"/>
        <v>1</v>
      </c>
      <c r="F111" s="11">
        <f t="shared" si="5"/>
        <v>1142400000</v>
      </c>
      <c r="G111" s="11" t="s">
        <v>466</v>
      </c>
    </row>
    <row r="112" spans="1:9">
      <c r="A112" s="11" t="s">
        <v>470</v>
      </c>
      <c r="B112" s="3">
        <v>-200000</v>
      </c>
      <c r="C112" s="11">
        <v>1</v>
      </c>
      <c r="D112" s="11">
        <f t="shared" si="3"/>
        <v>405</v>
      </c>
      <c r="E112" s="11">
        <f t="shared" si="4"/>
        <v>0</v>
      </c>
      <c r="F112" s="11">
        <f t="shared" si="5"/>
        <v>-81000000</v>
      </c>
      <c r="G112" s="11" t="s">
        <v>472</v>
      </c>
    </row>
    <row r="113" spans="1:10">
      <c r="A113" s="11" t="s">
        <v>471</v>
      </c>
      <c r="B113" s="3">
        <v>72310</v>
      </c>
      <c r="C113" s="11">
        <v>17</v>
      </c>
      <c r="D113" s="11">
        <f t="shared" si="3"/>
        <v>404</v>
      </c>
      <c r="E113" s="11">
        <f t="shared" si="4"/>
        <v>1</v>
      </c>
      <c r="F113" s="11">
        <f t="shared" si="5"/>
        <v>29140930</v>
      </c>
      <c r="G113" s="11" t="s">
        <v>498</v>
      </c>
    </row>
    <row r="114" spans="1:10">
      <c r="A114" s="11" t="s">
        <v>494</v>
      </c>
      <c r="B114" s="3">
        <v>-200000</v>
      </c>
      <c r="C114" s="11">
        <v>1</v>
      </c>
      <c r="D114" s="11">
        <f t="shared" si="3"/>
        <v>387</v>
      </c>
      <c r="E114" s="11">
        <f t="shared" si="4"/>
        <v>0</v>
      </c>
      <c r="F114" s="11">
        <f t="shared" si="5"/>
        <v>-77400000</v>
      </c>
      <c r="G114" s="11" t="s">
        <v>459</v>
      </c>
      <c r="J114" t="s">
        <v>25</v>
      </c>
    </row>
    <row r="115" spans="1:10">
      <c r="A115" s="23" t="s">
        <v>495</v>
      </c>
      <c r="B115" s="35">
        <v>-11000000</v>
      </c>
      <c r="C115" s="23">
        <v>0</v>
      </c>
      <c r="D115" s="11">
        <f t="shared" si="3"/>
        <v>386</v>
      </c>
      <c r="E115" s="11">
        <f t="shared" si="4"/>
        <v>0</v>
      </c>
      <c r="F115" s="23">
        <f t="shared" si="5"/>
        <v>-4246000000</v>
      </c>
      <c r="G115" s="23" t="s">
        <v>499</v>
      </c>
    </row>
    <row r="116" spans="1:10">
      <c r="A116" s="11" t="s">
        <v>495</v>
      </c>
      <c r="B116" s="3">
        <v>-200000</v>
      </c>
      <c r="C116" s="11">
        <v>2</v>
      </c>
      <c r="D116" s="11">
        <f t="shared" si="3"/>
        <v>386</v>
      </c>
      <c r="E116" s="11">
        <f t="shared" si="4"/>
        <v>0</v>
      </c>
      <c r="F116" s="11">
        <f t="shared" si="5"/>
        <v>-77200000</v>
      </c>
      <c r="G116" s="11" t="s">
        <v>459</v>
      </c>
      <c r="I116" t="s">
        <v>25</v>
      </c>
    </row>
    <row r="117" spans="1:10">
      <c r="A117" s="11" t="s">
        <v>500</v>
      </c>
      <c r="B117" s="3">
        <v>-450500</v>
      </c>
      <c r="C117" s="11">
        <v>0</v>
      </c>
      <c r="D117" s="11">
        <f t="shared" si="3"/>
        <v>384</v>
      </c>
      <c r="E117" s="11">
        <f t="shared" si="4"/>
        <v>0</v>
      </c>
      <c r="F117" s="11">
        <f t="shared" si="5"/>
        <v>-172992000</v>
      </c>
      <c r="G117" s="11" t="s">
        <v>501</v>
      </c>
    </row>
    <row r="118" spans="1:10">
      <c r="A118" s="11" t="s">
        <v>500</v>
      </c>
      <c r="B118" s="3">
        <v>-200000</v>
      </c>
      <c r="C118" s="11">
        <v>6</v>
      </c>
      <c r="D118" s="11">
        <f t="shared" si="3"/>
        <v>384</v>
      </c>
      <c r="E118" s="11">
        <f t="shared" si="4"/>
        <v>0</v>
      </c>
      <c r="F118" s="11">
        <f t="shared" si="5"/>
        <v>-76800000</v>
      </c>
      <c r="G118" s="11" t="s">
        <v>502</v>
      </c>
      <c r="J118" t="s">
        <v>25</v>
      </c>
    </row>
    <row r="119" spans="1:10">
      <c r="A119" s="11" t="s">
        <v>504</v>
      </c>
      <c r="B119" s="3">
        <v>-154550</v>
      </c>
      <c r="C119" s="11">
        <v>0</v>
      </c>
      <c r="D119" s="11">
        <f t="shared" si="3"/>
        <v>378</v>
      </c>
      <c r="E119" s="11">
        <f t="shared" si="4"/>
        <v>0</v>
      </c>
      <c r="F119" s="11">
        <f t="shared" si="5"/>
        <v>-58419900</v>
      </c>
      <c r="G119" s="11" t="s">
        <v>505</v>
      </c>
    </row>
    <row r="120" spans="1:10">
      <c r="A120" s="11" t="s">
        <v>504</v>
      </c>
      <c r="B120" s="3">
        <v>-320</v>
      </c>
      <c r="C120" s="11">
        <v>1</v>
      </c>
      <c r="D120" s="11">
        <f t="shared" si="3"/>
        <v>378</v>
      </c>
      <c r="E120" s="11">
        <f t="shared" si="4"/>
        <v>0</v>
      </c>
      <c r="F120" s="11">
        <f t="shared" si="5"/>
        <v>-120960</v>
      </c>
      <c r="G120" s="11" t="s">
        <v>506</v>
      </c>
    </row>
    <row r="121" spans="1:10">
      <c r="A121" s="11" t="s">
        <v>507</v>
      </c>
      <c r="B121" s="3">
        <v>-432000</v>
      </c>
      <c r="C121" s="11">
        <v>6</v>
      </c>
      <c r="D121" s="11">
        <f t="shared" si="3"/>
        <v>377</v>
      </c>
      <c r="E121" s="11">
        <f t="shared" si="4"/>
        <v>0</v>
      </c>
      <c r="F121" s="11">
        <f t="shared" si="5"/>
        <v>-162864000</v>
      </c>
      <c r="G121" s="11" t="s">
        <v>508</v>
      </c>
    </row>
    <row r="122" spans="1:10">
      <c r="A122" s="11" t="s">
        <v>509</v>
      </c>
      <c r="B122" s="3">
        <v>74043</v>
      </c>
      <c r="C122" s="11">
        <v>21</v>
      </c>
      <c r="D122" s="11">
        <f t="shared" si="3"/>
        <v>371</v>
      </c>
      <c r="E122" s="11">
        <f t="shared" si="4"/>
        <v>1</v>
      </c>
      <c r="F122" s="11">
        <f t="shared" si="5"/>
        <v>27395910</v>
      </c>
      <c r="G122" s="11" t="s">
        <v>510</v>
      </c>
    </row>
    <row r="123" spans="1:10">
      <c r="A123" s="11" t="s">
        <v>532</v>
      </c>
      <c r="B123" s="3">
        <v>-52000</v>
      </c>
      <c r="C123" s="11">
        <v>41</v>
      </c>
      <c r="D123" s="11">
        <f t="shared" si="3"/>
        <v>350</v>
      </c>
      <c r="E123" s="11">
        <f t="shared" si="4"/>
        <v>0</v>
      </c>
      <c r="F123" s="11">
        <f t="shared" si="5"/>
        <v>-18200000</v>
      </c>
      <c r="G123" s="11" t="s">
        <v>534</v>
      </c>
    </row>
    <row r="124" spans="1:10">
      <c r="A124" s="11" t="s">
        <v>584</v>
      </c>
      <c r="B124" s="3">
        <v>1187</v>
      </c>
      <c r="C124" s="11">
        <v>1</v>
      </c>
      <c r="D124" s="11">
        <f t="shared" si="3"/>
        <v>309</v>
      </c>
      <c r="E124" s="11">
        <f t="shared" si="4"/>
        <v>1</v>
      </c>
      <c r="F124" s="11">
        <f t="shared" si="5"/>
        <v>365596</v>
      </c>
      <c r="G124" s="11" t="s">
        <v>585</v>
      </c>
    </row>
    <row r="125" spans="1:10">
      <c r="A125" s="11" t="s">
        <v>582</v>
      </c>
      <c r="B125" s="3">
        <v>2400000</v>
      </c>
      <c r="C125" s="11">
        <v>2</v>
      </c>
      <c r="D125" s="11">
        <f t="shared" si="3"/>
        <v>308</v>
      </c>
      <c r="E125" s="11">
        <f t="shared" si="4"/>
        <v>1</v>
      </c>
      <c r="F125" s="11">
        <f t="shared" si="5"/>
        <v>736800000</v>
      </c>
      <c r="G125" s="11" t="s">
        <v>583</v>
      </c>
    </row>
    <row r="126" spans="1:10">
      <c r="A126" s="11" t="s">
        <v>591</v>
      </c>
      <c r="B126" s="3">
        <v>1342800</v>
      </c>
      <c r="C126" s="11">
        <v>0</v>
      </c>
      <c r="D126" s="11">
        <f t="shared" si="3"/>
        <v>306</v>
      </c>
      <c r="E126" s="11">
        <f t="shared" si="4"/>
        <v>1</v>
      </c>
      <c r="F126" s="11">
        <f t="shared" si="5"/>
        <v>409554000</v>
      </c>
      <c r="G126" s="11" t="s">
        <v>592</v>
      </c>
    </row>
    <row r="127" spans="1:10">
      <c r="A127" s="11" t="s">
        <v>591</v>
      </c>
      <c r="B127" s="3">
        <v>1342800</v>
      </c>
      <c r="C127" s="11">
        <v>12</v>
      </c>
      <c r="D127" s="11">
        <f t="shared" si="3"/>
        <v>306</v>
      </c>
      <c r="E127" s="11">
        <f t="shared" si="4"/>
        <v>1</v>
      </c>
      <c r="F127" s="11">
        <f t="shared" si="5"/>
        <v>409554000</v>
      </c>
      <c r="G127" s="11" t="s">
        <v>593</v>
      </c>
    </row>
    <row r="128" spans="1:10">
      <c r="A128" s="11" t="s">
        <v>600</v>
      </c>
      <c r="B128" s="3">
        <v>-200000</v>
      </c>
      <c r="C128" s="11">
        <v>2</v>
      </c>
      <c r="D128" s="11">
        <f t="shared" si="3"/>
        <v>294</v>
      </c>
      <c r="E128" s="11">
        <f t="shared" si="4"/>
        <v>0</v>
      </c>
      <c r="F128" s="11">
        <f t="shared" si="5"/>
        <v>-58800000</v>
      </c>
      <c r="G128" s="11" t="s">
        <v>158</v>
      </c>
    </row>
    <row r="129" spans="1:11">
      <c r="A129" s="11" t="s">
        <v>601</v>
      </c>
      <c r="B129" s="3">
        <v>-15618</v>
      </c>
      <c r="C129" s="11">
        <v>1</v>
      </c>
      <c r="D129" s="11">
        <f t="shared" si="3"/>
        <v>292</v>
      </c>
      <c r="E129" s="11">
        <f t="shared" si="4"/>
        <v>0</v>
      </c>
      <c r="F129" s="11">
        <f>B129*(D129-E129)</f>
        <v>-4560456</v>
      </c>
      <c r="G129" s="11" t="s">
        <v>602</v>
      </c>
      <c r="K129" t="s">
        <v>25</v>
      </c>
    </row>
    <row r="130" spans="1:11">
      <c r="A130" s="11" t="s">
        <v>603</v>
      </c>
      <c r="B130" s="3">
        <v>-200000</v>
      </c>
      <c r="C130" s="11">
        <v>1</v>
      </c>
      <c r="D130" s="11">
        <f t="shared" ref="D130:D185" si="6">D131+C130</f>
        <v>291</v>
      </c>
      <c r="E130" s="11">
        <f t="shared" si="4"/>
        <v>0</v>
      </c>
      <c r="F130" s="11">
        <f t="shared" si="5"/>
        <v>-58200000</v>
      </c>
      <c r="G130" s="11" t="s">
        <v>502</v>
      </c>
    </row>
    <row r="131" spans="1:11">
      <c r="A131" s="11" t="s">
        <v>605</v>
      </c>
      <c r="B131" s="3">
        <v>-200000</v>
      </c>
      <c r="C131" s="11">
        <v>1</v>
      </c>
      <c r="D131" s="11">
        <f t="shared" si="6"/>
        <v>290</v>
      </c>
      <c r="E131" s="11">
        <f t="shared" ref="E131:E227" si="7">IF(B131&gt;0,1,0)</f>
        <v>0</v>
      </c>
      <c r="F131" s="11">
        <f t="shared" si="5"/>
        <v>-58000000</v>
      </c>
      <c r="G131" s="11" t="s">
        <v>606</v>
      </c>
    </row>
    <row r="132" spans="1:11">
      <c r="A132" s="11" t="s">
        <v>607</v>
      </c>
      <c r="B132" s="3">
        <v>-390000</v>
      </c>
      <c r="C132" s="11">
        <v>0</v>
      </c>
      <c r="D132" s="11">
        <f t="shared" si="6"/>
        <v>289</v>
      </c>
      <c r="E132" s="11">
        <f t="shared" si="7"/>
        <v>0</v>
      </c>
      <c r="F132" s="11">
        <f t="shared" si="5"/>
        <v>-112710000</v>
      </c>
      <c r="G132" s="11" t="s">
        <v>608</v>
      </c>
    </row>
    <row r="133" spans="1:11">
      <c r="A133" s="11" t="s">
        <v>607</v>
      </c>
      <c r="B133" s="3">
        <v>-24500</v>
      </c>
      <c r="C133" s="11">
        <v>1</v>
      </c>
      <c r="D133" s="11">
        <f t="shared" si="6"/>
        <v>289</v>
      </c>
      <c r="E133" s="11">
        <f t="shared" si="7"/>
        <v>0</v>
      </c>
      <c r="F133" s="11">
        <f t="shared" si="5"/>
        <v>-7080500</v>
      </c>
      <c r="G133" s="11" t="s">
        <v>609</v>
      </c>
    </row>
    <row r="134" spans="1:11">
      <c r="A134" s="11" t="s">
        <v>610</v>
      </c>
      <c r="B134" s="3">
        <v>-95000</v>
      </c>
      <c r="C134" s="11">
        <v>4</v>
      </c>
      <c r="D134" s="11">
        <f t="shared" si="6"/>
        <v>288</v>
      </c>
      <c r="E134" s="11">
        <f t="shared" si="7"/>
        <v>0</v>
      </c>
      <c r="F134" s="11">
        <f t="shared" si="5"/>
        <v>-27360000</v>
      </c>
      <c r="G134" s="11" t="s">
        <v>459</v>
      </c>
    </row>
    <row r="135" spans="1:11">
      <c r="A135" s="11" t="s">
        <v>612</v>
      </c>
      <c r="B135" s="3">
        <v>-200000</v>
      </c>
      <c r="C135" s="11">
        <v>2</v>
      </c>
      <c r="D135" s="11">
        <f t="shared" si="6"/>
        <v>284</v>
      </c>
      <c r="E135" s="11">
        <f t="shared" si="7"/>
        <v>0</v>
      </c>
      <c r="F135" s="11">
        <f t="shared" si="5"/>
        <v>-56800000</v>
      </c>
      <c r="G135" s="11" t="s">
        <v>613</v>
      </c>
    </row>
    <row r="136" spans="1:11">
      <c r="A136" s="11" t="s">
        <v>615</v>
      </c>
      <c r="B136" s="3">
        <v>50000000</v>
      </c>
      <c r="C136" s="11">
        <v>1</v>
      </c>
      <c r="D136" s="11">
        <f t="shared" si="6"/>
        <v>282</v>
      </c>
      <c r="E136" s="11">
        <f t="shared" si="7"/>
        <v>1</v>
      </c>
      <c r="F136" s="11">
        <f t="shared" si="5"/>
        <v>14050000000</v>
      </c>
      <c r="G136" s="11" t="s">
        <v>616</v>
      </c>
    </row>
    <row r="137" spans="1:11">
      <c r="A137" s="11" t="s">
        <v>621</v>
      </c>
      <c r="B137" s="3">
        <v>12000000</v>
      </c>
      <c r="C137" s="11">
        <v>2</v>
      </c>
      <c r="D137" s="11">
        <f t="shared" si="6"/>
        <v>281</v>
      </c>
      <c r="E137" s="11">
        <f t="shared" si="7"/>
        <v>1</v>
      </c>
      <c r="F137" s="11">
        <f t="shared" si="5"/>
        <v>3360000000</v>
      </c>
      <c r="G137" s="11" t="s">
        <v>616</v>
      </c>
    </row>
    <row r="138" spans="1:11">
      <c r="A138" s="11" t="s">
        <v>623</v>
      </c>
      <c r="B138" s="3">
        <v>2000000</v>
      </c>
      <c r="C138" s="11">
        <v>1</v>
      </c>
      <c r="D138" s="11">
        <f t="shared" si="6"/>
        <v>279</v>
      </c>
      <c r="E138" s="11">
        <f t="shared" si="7"/>
        <v>1</v>
      </c>
      <c r="F138" s="11">
        <f t="shared" si="5"/>
        <v>556000000</v>
      </c>
      <c r="G138" s="11" t="s">
        <v>625</v>
      </c>
    </row>
    <row r="139" spans="1:11">
      <c r="A139" s="11" t="s">
        <v>627</v>
      </c>
      <c r="B139" s="3">
        <v>87538</v>
      </c>
      <c r="C139" s="11">
        <v>13</v>
      </c>
      <c r="D139" s="11">
        <f t="shared" si="6"/>
        <v>278</v>
      </c>
      <c r="E139" s="11">
        <f t="shared" si="7"/>
        <v>1</v>
      </c>
      <c r="F139" s="11">
        <f t="shared" si="5"/>
        <v>24248026</v>
      </c>
      <c r="G139" s="11" t="s">
        <v>375</v>
      </c>
    </row>
    <row r="140" spans="1:11">
      <c r="A140" s="11" t="s">
        <v>649</v>
      </c>
      <c r="B140" s="3">
        <v>-3000900</v>
      </c>
      <c r="C140" s="11">
        <v>1</v>
      </c>
      <c r="D140" s="11">
        <f t="shared" si="6"/>
        <v>265</v>
      </c>
      <c r="E140" s="11">
        <f t="shared" si="7"/>
        <v>0</v>
      </c>
      <c r="F140" s="11">
        <f t="shared" si="5"/>
        <v>-795238500</v>
      </c>
      <c r="G140" s="11" t="s">
        <v>650</v>
      </c>
    </row>
    <row r="141" spans="1:11">
      <c r="A141" s="11" t="s">
        <v>667</v>
      </c>
      <c r="B141" s="3">
        <v>-3000900</v>
      </c>
      <c r="C141" s="11">
        <v>17</v>
      </c>
      <c r="D141" s="11">
        <f t="shared" si="6"/>
        <v>264</v>
      </c>
      <c r="E141" s="11">
        <f t="shared" si="7"/>
        <v>0</v>
      </c>
      <c r="F141" s="11">
        <f t="shared" si="5"/>
        <v>-792237600</v>
      </c>
      <c r="G141" s="11" t="s">
        <v>650</v>
      </c>
      <c r="K141" t="s">
        <v>25</v>
      </c>
    </row>
    <row r="142" spans="1:11">
      <c r="A142" s="11" t="s">
        <v>630</v>
      </c>
      <c r="B142" s="3">
        <v>602025</v>
      </c>
      <c r="C142" s="11">
        <v>0</v>
      </c>
      <c r="D142" s="11">
        <f t="shared" si="6"/>
        <v>247</v>
      </c>
      <c r="E142" s="11">
        <f t="shared" si="7"/>
        <v>1</v>
      </c>
      <c r="F142" s="11">
        <f t="shared" si="5"/>
        <v>148098150</v>
      </c>
      <c r="G142" s="11" t="s">
        <v>669</v>
      </c>
    </row>
    <row r="143" spans="1:11">
      <c r="A143" s="11" t="s">
        <v>630</v>
      </c>
      <c r="B143" s="3">
        <v>-46000000</v>
      </c>
      <c r="C143" s="11">
        <v>31</v>
      </c>
      <c r="D143" s="11">
        <f t="shared" si="6"/>
        <v>247</v>
      </c>
      <c r="E143" s="11">
        <f t="shared" si="7"/>
        <v>0</v>
      </c>
      <c r="F143" s="11">
        <f t="shared" si="5"/>
        <v>-11362000000</v>
      </c>
      <c r="G143" s="11" t="s">
        <v>672</v>
      </c>
    </row>
    <row r="144" spans="1:11">
      <c r="A144" s="11" t="s">
        <v>631</v>
      </c>
      <c r="B144" s="3">
        <v>154107</v>
      </c>
      <c r="C144" s="11">
        <v>1</v>
      </c>
      <c r="D144" s="11">
        <f t="shared" si="6"/>
        <v>216</v>
      </c>
      <c r="E144" s="11">
        <f t="shared" si="7"/>
        <v>1</v>
      </c>
      <c r="F144" s="11">
        <f t="shared" si="5"/>
        <v>33133005</v>
      </c>
      <c r="G144" s="11" t="s">
        <v>695</v>
      </c>
    </row>
    <row r="145" spans="1:11">
      <c r="A145" s="11" t="s">
        <v>701</v>
      </c>
      <c r="B145" s="3">
        <v>3000000</v>
      </c>
      <c r="C145" s="11">
        <v>3</v>
      </c>
      <c r="D145" s="11">
        <f t="shared" si="6"/>
        <v>215</v>
      </c>
      <c r="E145" s="11">
        <f t="shared" si="7"/>
        <v>1</v>
      </c>
      <c r="F145" s="11">
        <f t="shared" si="5"/>
        <v>642000000</v>
      </c>
      <c r="G145" s="11" t="s">
        <v>702</v>
      </c>
    </row>
    <row r="146" spans="1:11">
      <c r="A146" s="11" t="s">
        <v>703</v>
      </c>
      <c r="B146" s="3">
        <v>-200000</v>
      </c>
      <c r="C146" s="11">
        <v>5</v>
      </c>
      <c r="D146" s="11">
        <f t="shared" si="6"/>
        <v>212</v>
      </c>
      <c r="E146" s="11">
        <f t="shared" si="7"/>
        <v>0</v>
      </c>
      <c r="F146" s="11">
        <f t="shared" si="5"/>
        <v>-42400000</v>
      </c>
      <c r="G146" s="11" t="s">
        <v>158</v>
      </c>
    </row>
    <row r="147" spans="1:11">
      <c r="A147" s="11" t="s">
        <v>704</v>
      </c>
      <c r="B147" s="3">
        <v>-200000</v>
      </c>
      <c r="C147" s="11">
        <v>1</v>
      </c>
      <c r="D147" s="11">
        <f t="shared" si="6"/>
        <v>207</v>
      </c>
      <c r="E147" s="11">
        <f t="shared" si="7"/>
        <v>0</v>
      </c>
      <c r="F147" s="11">
        <f t="shared" si="5"/>
        <v>-41400000</v>
      </c>
      <c r="G147" s="11" t="s">
        <v>158</v>
      </c>
      <c r="K147" t="s">
        <v>25</v>
      </c>
    </row>
    <row r="148" spans="1:11">
      <c r="A148" s="11" t="s">
        <v>705</v>
      </c>
      <c r="B148" s="3">
        <v>-200000</v>
      </c>
      <c r="C148" s="11">
        <v>4</v>
      </c>
      <c r="D148" s="11">
        <f t="shared" si="6"/>
        <v>206</v>
      </c>
      <c r="E148" s="11">
        <f t="shared" si="7"/>
        <v>0</v>
      </c>
      <c r="F148" s="11">
        <f t="shared" si="5"/>
        <v>-41200000</v>
      </c>
      <c r="G148" s="11" t="s">
        <v>158</v>
      </c>
    </row>
    <row r="149" spans="1:11">
      <c r="A149" s="11" t="s">
        <v>634</v>
      </c>
      <c r="B149" s="3">
        <v>-200000</v>
      </c>
      <c r="C149" s="11">
        <v>1</v>
      </c>
      <c r="D149" s="11">
        <f t="shared" si="6"/>
        <v>202</v>
      </c>
      <c r="E149" s="11">
        <f t="shared" si="7"/>
        <v>0</v>
      </c>
      <c r="F149" s="11">
        <f t="shared" si="5"/>
        <v>-40400000</v>
      </c>
      <c r="G149" s="11" t="s">
        <v>158</v>
      </c>
    </row>
    <row r="150" spans="1:11">
      <c r="A150" s="11" t="s">
        <v>711</v>
      </c>
      <c r="B150" s="3">
        <v>24073400</v>
      </c>
      <c r="C150" s="11">
        <v>2</v>
      </c>
      <c r="D150" s="11">
        <f t="shared" si="6"/>
        <v>201</v>
      </c>
      <c r="E150" s="11">
        <f t="shared" si="7"/>
        <v>1</v>
      </c>
      <c r="F150" s="11">
        <f t="shared" si="5"/>
        <v>4814680000</v>
      </c>
      <c r="G150" s="11" t="s">
        <v>712</v>
      </c>
    </row>
    <row r="151" spans="1:11">
      <c r="A151" s="11" t="s">
        <v>720</v>
      </c>
      <c r="B151" s="3">
        <v>-200000</v>
      </c>
      <c r="C151" s="11">
        <v>6</v>
      </c>
      <c r="D151" s="11">
        <f t="shared" si="6"/>
        <v>199</v>
      </c>
      <c r="E151" s="11">
        <f t="shared" si="7"/>
        <v>0</v>
      </c>
      <c r="F151" s="11">
        <f t="shared" si="5"/>
        <v>-39800000</v>
      </c>
      <c r="G151" s="11" t="s">
        <v>158</v>
      </c>
    </row>
    <row r="152" spans="1:11">
      <c r="A152" s="11" t="s">
        <v>721</v>
      </c>
      <c r="B152" s="3">
        <v>-30000000</v>
      </c>
      <c r="C152" s="11">
        <v>1</v>
      </c>
      <c r="D152" s="11">
        <f t="shared" si="6"/>
        <v>193</v>
      </c>
      <c r="E152" s="11">
        <f t="shared" si="7"/>
        <v>0</v>
      </c>
      <c r="F152" s="11">
        <f t="shared" si="5"/>
        <v>-5790000000</v>
      </c>
      <c r="G152" s="11" t="s">
        <v>722</v>
      </c>
    </row>
    <row r="153" spans="1:11">
      <c r="A153" s="11" t="s">
        <v>729</v>
      </c>
      <c r="B153" s="3">
        <v>-52000</v>
      </c>
      <c r="C153" s="11">
        <v>0</v>
      </c>
      <c r="D153" s="11">
        <f t="shared" si="6"/>
        <v>192</v>
      </c>
      <c r="E153" s="11">
        <f t="shared" si="7"/>
        <v>0</v>
      </c>
      <c r="F153" s="11">
        <f t="shared" si="5"/>
        <v>-9984000</v>
      </c>
      <c r="G153" s="11" t="s">
        <v>730</v>
      </c>
    </row>
    <row r="154" spans="1:11">
      <c r="A154" s="11" t="s">
        <v>729</v>
      </c>
      <c r="B154" s="3">
        <v>-136000</v>
      </c>
      <c r="C154" s="11">
        <v>5</v>
      </c>
      <c r="D154" s="11">
        <f t="shared" si="6"/>
        <v>192</v>
      </c>
      <c r="E154" s="11">
        <f t="shared" si="7"/>
        <v>0</v>
      </c>
      <c r="F154" s="11">
        <f t="shared" si="5"/>
        <v>-26112000</v>
      </c>
      <c r="G154" s="11" t="s">
        <v>731</v>
      </c>
    </row>
    <row r="155" spans="1:11">
      <c r="A155" s="11" t="s">
        <v>734</v>
      </c>
      <c r="B155" s="3">
        <v>3000000</v>
      </c>
      <c r="C155" s="11">
        <v>1</v>
      </c>
      <c r="D155" s="11">
        <f t="shared" si="6"/>
        <v>187</v>
      </c>
      <c r="E155" s="11">
        <f t="shared" si="7"/>
        <v>1</v>
      </c>
      <c r="F155" s="11">
        <f t="shared" si="5"/>
        <v>558000000</v>
      </c>
      <c r="G155" s="11" t="s">
        <v>735</v>
      </c>
    </row>
    <row r="156" spans="1:11">
      <c r="A156" s="11" t="s">
        <v>632</v>
      </c>
      <c r="B156" s="3">
        <v>189103</v>
      </c>
      <c r="C156" s="11">
        <v>0</v>
      </c>
      <c r="D156" s="11">
        <f t="shared" si="6"/>
        <v>186</v>
      </c>
      <c r="E156" s="11">
        <f t="shared" si="7"/>
        <v>1</v>
      </c>
      <c r="F156" s="11">
        <f t="shared" si="5"/>
        <v>34984055</v>
      </c>
      <c r="G156" s="11" t="s">
        <v>736</v>
      </c>
    </row>
    <row r="157" spans="1:11">
      <c r="A157" s="11" t="s">
        <v>632</v>
      </c>
      <c r="B157" s="3">
        <v>24227700</v>
      </c>
      <c r="C157" s="11">
        <v>8</v>
      </c>
      <c r="D157" s="11">
        <f t="shared" si="6"/>
        <v>186</v>
      </c>
      <c r="E157" s="11">
        <f t="shared" si="7"/>
        <v>1</v>
      </c>
      <c r="F157" s="11">
        <f t="shared" si="5"/>
        <v>4482124500</v>
      </c>
      <c r="G157" s="11" t="s">
        <v>737</v>
      </c>
    </row>
    <row r="158" spans="1:11">
      <c r="A158" s="11" t="s">
        <v>756</v>
      </c>
      <c r="B158" s="3">
        <v>24295200</v>
      </c>
      <c r="C158" s="11">
        <v>0</v>
      </c>
      <c r="D158" s="11">
        <f t="shared" si="6"/>
        <v>178</v>
      </c>
      <c r="E158" s="11">
        <f t="shared" si="7"/>
        <v>1</v>
      </c>
      <c r="F158" s="11">
        <f t="shared" si="5"/>
        <v>4300250400</v>
      </c>
      <c r="G158" s="11" t="s">
        <v>751</v>
      </c>
    </row>
    <row r="159" spans="1:11">
      <c r="A159" s="11" t="s">
        <v>756</v>
      </c>
      <c r="B159" s="3">
        <v>-201000</v>
      </c>
      <c r="C159" s="11">
        <v>5</v>
      </c>
      <c r="D159" s="11">
        <f t="shared" si="6"/>
        <v>178</v>
      </c>
      <c r="E159" s="11">
        <f t="shared" si="7"/>
        <v>0</v>
      </c>
      <c r="F159" s="11">
        <f t="shared" si="5"/>
        <v>-35778000</v>
      </c>
      <c r="G159" s="11" t="s">
        <v>761</v>
      </c>
    </row>
    <row r="160" spans="1:11">
      <c r="A160" s="11" t="s">
        <v>762</v>
      </c>
      <c r="B160" s="3">
        <v>-200000</v>
      </c>
      <c r="C160" s="11">
        <v>3</v>
      </c>
      <c r="D160" s="11">
        <f t="shared" si="6"/>
        <v>173</v>
      </c>
      <c r="E160" s="11">
        <f t="shared" si="7"/>
        <v>0</v>
      </c>
      <c r="F160" s="11">
        <f t="shared" si="5"/>
        <v>-34600000</v>
      </c>
      <c r="G160" s="11" t="s">
        <v>763</v>
      </c>
    </row>
    <row r="161" spans="1:7">
      <c r="A161" s="11" t="s">
        <v>769</v>
      </c>
      <c r="B161" s="3">
        <v>-200000</v>
      </c>
      <c r="C161" s="11">
        <v>4</v>
      </c>
      <c r="D161" s="11">
        <f t="shared" si="6"/>
        <v>170</v>
      </c>
      <c r="E161" s="11">
        <f t="shared" si="7"/>
        <v>0</v>
      </c>
      <c r="F161" s="11">
        <f t="shared" si="5"/>
        <v>-34000000</v>
      </c>
      <c r="G161" s="11" t="s">
        <v>763</v>
      </c>
    </row>
    <row r="162" spans="1:7">
      <c r="A162" s="11" t="s">
        <v>771</v>
      </c>
      <c r="B162" s="3">
        <v>-200000</v>
      </c>
      <c r="C162" s="11">
        <v>3</v>
      </c>
      <c r="D162" s="11">
        <f t="shared" si="6"/>
        <v>166</v>
      </c>
      <c r="E162" s="11">
        <f t="shared" si="7"/>
        <v>0</v>
      </c>
      <c r="F162" s="11">
        <f t="shared" si="5"/>
        <v>-33200000</v>
      </c>
      <c r="G162" s="11" t="s">
        <v>763</v>
      </c>
    </row>
    <row r="163" spans="1:7">
      <c r="A163" s="11" t="s">
        <v>772</v>
      </c>
      <c r="B163" s="3">
        <v>-200000</v>
      </c>
      <c r="C163" s="11">
        <v>7</v>
      </c>
      <c r="D163" s="11">
        <f t="shared" si="6"/>
        <v>163</v>
      </c>
      <c r="E163" s="11">
        <f t="shared" si="7"/>
        <v>0</v>
      </c>
      <c r="F163" s="11">
        <f t="shared" si="5"/>
        <v>-32600000</v>
      </c>
      <c r="G163" s="11" t="s">
        <v>763</v>
      </c>
    </row>
    <row r="164" spans="1:7">
      <c r="A164" s="11" t="s">
        <v>633</v>
      </c>
      <c r="B164" s="3">
        <v>457674</v>
      </c>
      <c r="C164" s="11">
        <v>3</v>
      </c>
      <c r="D164" s="11">
        <f t="shared" si="6"/>
        <v>156</v>
      </c>
      <c r="E164" s="11">
        <f t="shared" si="7"/>
        <v>1</v>
      </c>
      <c r="F164" s="11">
        <f t="shared" si="5"/>
        <v>70939470</v>
      </c>
      <c r="G164" s="11" t="s">
        <v>776</v>
      </c>
    </row>
    <row r="165" spans="1:7">
      <c r="A165" s="11" t="s">
        <v>781</v>
      </c>
      <c r="B165" s="3">
        <v>2700000</v>
      </c>
      <c r="C165" s="11">
        <v>0</v>
      </c>
      <c r="D165" s="11">
        <f t="shared" si="6"/>
        <v>153</v>
      </c>
      <c r="E165" s="11">
        <f t="shared" si="7"/>
        <v>1</v>
      </c>
      <c r="F165" s="11">
        <f t="shared" si="5"/>
        <v>410400000</v>
      </c>
      <c r="G165" s="11" t="s">
        <v>782</v>
      </c>
    </row>
    <row r="166" spans="1:7">
      <c r="A166" s="11" t="s">
        <v>781</v>
      </c>
      <c r="B166" s="3">
        <v>2500000</v>
      </c>
      <c r="C166" s="11">
        <v>7</v>
      </c>
      <c r="D166" s="11">
        <f t="shared" si="6"/>
        <v>153</v>
      </c>
      <c r="E166" s="11">
        <f t="shared" si="7"/>
        <v>1</v>
      </c>
      <c r="F166" s="11">
        <f t="shared" si="5"/>
        <v>380000000</v>
      </c>
      <c r="G166" s="11" t="s">
        <v>783</v>
      </c>
    </row>
    <row r="167" spans="1:7">
      <c r="A167" s="11" t="s">
        <v>795</v>
      </c>
      <c r="B167" s="3">
        <v>-200000</v>
      </c>
      <c r="C167" s="11">
        <v>2</v>
      </c>
      <c r="D167" s="11">
        <f t="shared" si="6"/>
        <v>146</v>
      </c>
      <c r="E167" s="11">
        <f t="shared" si="7"/>
        <v>0</v>
      </c>
      <c r="F167" s="11">
        <f t="shared" si="5"/>
        <v>-29200000</v>
      </c>
      <c r="G167" s="11" t="s">
        <v>502</v>
      </c>
    </row>
    <row r="168" spans="1:7">
      <c r="A168" s="11" t="s">
        <v>797</v>
      </c>
      <c r="B168" s="3">
        <v>-200000</v>
      </c>
      <c r="C168" s="11">
        <v>6</v>
      </c>
      <c r="D168" s="11">
        <f t="shared" si="6"/>
        <v>144</v>
      </c>
      <c r="E168" s="11">
        <f t="shared" si="7"/>
        <v>0</v>
      </c>
      <c r="F168" s="11">
        <f t="shared" si="5"/>
        <v>-28800000</v>
      </c>
      <c r="G168" s="11" t="s">
        <v>502</v>
      </c>
    </row>
    <row r="169" spans="1:7">
      <c r="A169" s="11" t="s">
        <v>799</v>
      </c>
      <c r="B169" s="3">
        <v>-200000</v>
      </c>
      <c r="C169" s="11">
        <v>3</v>
      </c>
      <c r="D169" s="11">
        <f t="shared" si="6"/>
        <v>138</v>
      </c>
      <c r="E169" s="11">
        <f t="shared" si="7"/>
        <v>0</v>
      </c>
      <c r="F169" s="11">
        <f t="shared" si="5"/>
        <v>-27600000</v>
      </c>
      <c r="G169" s="11" t="s">
        <v>502</v>
      </c>
    </row>
    <row r="170" spans="1:7">
      <c r="A170" s="11" t="s">
        <v>804</v>
      </c>
      <c r="B170" s="3">
        <v>-200000</v>
      </c>
      <c r="C170" s="11">
        <v>0</v>
      </c>
      <c r="D170" s="11">
        <f t="shared" si="6"/>
        <v>135</v>
      </c>
      <c r="E170" s="11">
        <f t="shared" si="7"/>
        <v>0</v>
      </c>
      <c r="F170" s="11">
        <f t="shared" si="5"/>
        <v>-27000000</v>
      </c>
      <c r="G170" s="11" t="s">
        <v>502</v>
      </c>
    </row>
    <row r="171" spans="1:7">
      <c r="A171" s="11" t="s">
        <v>804</v>
      </c>
      <c r="B171" s="3">
        <v>3000000</v>
      </c>
      <c r="C171" s="11">
        <v>3</v>
      </c>
      <c r="D171" s="11">
        <f t="shared" si="6"/>
        <v>135</v>
      </c>
      <c r="E171" s="11">
        <f t="shared" si="7"/>
        <v>1</v>
      </c>
      <c r="F171" s="11">
        <f t="shared" si="5"/>
        <v>402000000</v>
      </c>
      <c r="G171" s="11" t="s">
        <v>805</v>
      </c>
    </row>
    <row r="172" spans="1:7">
      <c r="A172" s="11" t="s">
        <v>806</v>
      </c>
      <c r="B172" s="3">
        <v>-200000</v>
      </c>
      <c r="C172" s="11">
        <v>1</v>
      </c>
      <c r="D172" s="11">
        <f t="shared" si="6"/>
        <v>132</v>
      </c>
      <c r="E172" s="11">
        <f t="shared" si="7"/>
        <v>0</v>
      </c>
      <c r="F172" s="11">
        <f t="shared" si="5"/>
        <v>-26400000</v>
      </c>
      <c r="G172" s="11" t="s">
        <v>158</v>
      </c>
    </row>
    <row r="173" spans="1:7">
      <c r="A173" s="11" t="s">
        <v>806</v>
      </c>
      <c r="B173" s="3">
        <v>3000000</v>
      </c>
      <c r="C173" s="11">
        <v>1</v>
      </c>
      <c r="D173" s="11">
        <f t="shared" si="6"/>
        <v>131</v>
      </c>
      <c r="E173" s="11">
        <f t="shared" si="7"/>
        <v>1</v>
      </c>
      <c r="F173" s="11">
        <f t="shared" si="5"/>
        <v>390000000</v>
      </c>
      <c r="G173" s="11" t="s">
        <v>808</v>
      </c>
    </row>
    <row r="174" spans="1:7">
      <c r="A174" s="11" t="s">
        <v>807</v>
      </c>
      <c r="B174" s="3">
        <v>2000000</v>
      </c>
      <c r="C174" s="11">
        <v>1</v>
      </c>
      <c r="D174" s="11">
        <f t="shared" si="6"/>
        <v>130</v>
      </c>
      <c r="E174" s="11">
        <f t="shared" si="7"/>
        <v>1</v>
      </c>
      <c r="F174" s="11">
        <f t="shared" si="5"/>
        <v>258000000</v>
      </c>
      <c r="G174" s="11" t="s">
        <v>809</v>
      </c>
    </row>
    <row r="175" spans="1:7">
      <c r="A175" s="11" t="s">
        <v>807</v>
      </c>
      <c r="B175" s="3">
        <v>1300000</v>
      </c>
      <c r="C175" s="11">
        <v>2</v>
      </c>
      <c r="D175" s="11">
        <f t="shared" si="6"/>
        <v>129</v>
      </c>
      <c r="E175" s="11">
        <f t="shared" si="7"/>
        <v>1</v>
      </c>
      <c r="F175" s="11">
        <f t="shared" si="5"/>
        <v>166400000</v>
      </c>
      <c r="G175" s="11" t="s">
        <v>810</v>
      </c>
    </row>
    <row r="176" spans="1:7">
      <c r="A176" s="11" t="s">
        <v>811</v>
      </c>
      <c r="B176" s="3">
        <v>-200000</v>
      </c>
      <c r="C176" s="11">
        <v>0</v>
      </c>
      <c r="D176" s="11">
        <f t="shared" si="6"/>
        <v>127</v>
      </c>
      <c r="E176" s="11">
        <f t="shared" si="7"/>
        <v>0</v>
      </c>
      <c r="F176" s="11">
        <f t="shared" si="5"/>
        <v>-25400000</v>
      </c>
      <c r="G176" s="11" t="s">
        <v>763</v>
      </c>
    </row>
    <row r="177" spans="1:7">
      <c r="A177" s="11" t="s">
        <v>811</v>
      </c>
      <c r="B177" s="3">
        <v>1700000</v>
      </c>
      <c r="C177" s="11">
        <v>1</v>
      </c>
      <c r="D177" s="11">
        <f t="shared" si="6"/>
        <v>127</v>
      </c>
      <c r="E177" s="11">
        <f t="shared" si="7"/>
        <v>1</v>
      </c>
      <c r="F177" s="11">
        <f t="shared" si="5"/>
        <v>214200000</v>
      </c>
      <c r="G177" s="11" t="s">
        <v>812</v>
      </c>
    </row>
    <row r="178" spans="1:7">
      <c r="A178" s="11" t="s">
        <v>813</v>
      </c>
      <c r="B178" s="3">
        <v>-200000</v>
      </c>
      <c r="C178" s="11">
        <v>1</v>
      </c>
      <c r="D178" s="11">
        <f t="shared" si="6"/>
        <v>126</v>
      </c>
      <c r="E178" s="11">
        <f t="shared" si="7"/>
        <v>0</v>
      </c>
      <c r="F178" s="11">
        <f t="shared" si="5"/>
        <v>-25200000</v>
      </c>
      <c r="G178" s="11" t="s">
        <v>502</v>
      </c>
    </row>
    <row r="179" spans="1:7">
      <c r="A179" s="11" t="s">
        <v>815</v>
      </c>
      <c r="B179" s="3">
        <v>571492</v>
      </c>
      <c r="C179" s="11">
        <v>3</v>
      </c>
      <c r="D179" s="11">
        <f t="shared" si="6"/>
        <v>125</v>
      </c>
      <c r="E179" s="11">
        <f t="shared" si="7"/>
        <v>1</v>
      </c>
      <c r="F179" s="11">
        <f t="shared" si="5"/>
        <v>70865008</v>
      </c>
      <c r="G179" s="11" t="s">
        <v>242</v>
      </c>
    </row>
    <row r="180" spans="1:7">
      <c r="A180" s="11" t="s">
        <v>820</v>
      </c>
      <c r="B180" s="3">
        <v>3000000</v>
      </c>
      <c r="C180" s="11">
        <v>7</v>
      </c>
      <c r="D180" s="11">
        <f t="shared" si="6"/>
        <v>122</v>
      </c>
      <c r="E180" s="11">
        <f t="shared" si="7"/>
        <v>1</v>
      </c>
      <c r="F180" s="11">
        <f t="shared" si="5"/>
        <v>363000000</v>
      </c>
      <c r="G180" s="11" t="s">
        <v>823</v>
      </c>
    </row>
    <row r="181" spans="1:7">
      <c r="A181" s="11" t="s">
        <v>832</v>
      </c>
      <c r="B181" s="3">
        <v>2000000</v>
      </c>
      <c r="C181" s="11">
        <v>8</v>
      </c>
      <c r="D181" s="11">
        <f t="shared" si="6"/>
        <v>115</v>
      </c>
      <c r="E181" s="11">
        <f t="shared" si="7"/>
        <v>1</v>
      </c>
      <c r="F181" s="11">
        <f t="shared" si="5"/>
        <v>228000000</v>
      </c>
      <c r="G181" s="11" t="s">
        <v>833</v>
      </c>
    </row>
    <row r="182" spans="1:7">
      <c r="A182" s="11" t="s">
        <v>844</v>
      </c>
      <c r="B182" s="3">
        <v>-2200700</v>
      </c>
      <c r="C182" s="11">
        <v>12</v>
      </c>
      <c r="D182" s="11">
        <f t="shared" si="6"/>
        <v>107</v>
      </c>
      <c r="E182" s="11">
        <f t="shared" si="7"/>
        <v>0</v>
      </c>
      <c r="F182" s="11">
        <f t="shared" si="5"/>
        <v>-235474900</v>
      </c>
      <c r="G182" s="11" t="s">
        <v>846</v>
      </c>
    </row>
    <row r="183" spans="1:7">
      <c r="A183" s="11" t="s">
        <v>854</v>
      </c>
      <c r="B183" s="3">
        <v>675087</v>
      </c>
      <c r="C183" s="11">
        <v>30</v>
      </c>
      <c r="D183" s="11">
        <f t="shared" si="6"/>
        <v>95</v>
      </c>
      <c r="E183" s="11">
        <f t="shared" si="7"/>
        <v>1</v>
      </c>
      <c r="F183" s="11">
        <f t="shared" si="5"/>
        <v>63458178</v>
      </c>
      <c r="G183" s="11" t="s">
        <v>264</v>
      </c>
    </row>
    <row r="184" spans="1:7">
      <c r="A184" s="11" t="s">
        <v>891</v>
      </c>
      <c r="B184" s="3">
        <v>677000</v>
      </c>
      <c r="C184" s="11">
        <v>15</v>
      </c>
      <c r="D184" s="11">
        <f>D185+C184</f>
        <v>65</v>
      </c>
      <c r="E184" s="11">
        <f t="shared" si="7"/>
        <v>1</v>
      </c>
      <c r="F184" s="11">
        <f t="shared" si="5"/>
        <v>43328000</v>
      </c>
      <c r="G184" s="11" t="s">
        <v>400</v>
      </c>
    </row>
    <row r="185" spans="1:7">
      <c r="A185" s="11" t="s">
        <v>916</v>
      </c>
      <c r="B185" s="3">
        <v>-10000</v>
      </c>
      <c r="C185" s="11">
        <v>5</v>
      </c>
      <c r="D185" s="11">
        <f t="shared" si="6"/>
        <v>50</v>
      </c>
      <c r="E185" s="11">
        <f t="shared" si="7"/>
        <v>0</v>
      </c>
      <c r="F185" s="11">
        <f t="shared" si="5"/>
        <v>-500000</v>
      </c>
      <c r="G185" s="11" t="s">
        <v>922</v>
      </c>
    </row>
    <row r="186" spans="1:7">
      <c r="A186" s="11" t="s">
        <v>933</v>
      </c>
      <c r="B186" s="3">
        <v>-80500000</v>
      </c>
      <c r="C186" s="11">
        <v>5</v>
      </c>
      <c r="D186" s="11">
        <f t="shared" ref="D186:D227" si="8">D187+C186</f>
        <v>45</v>
      </c>
      <c r="E186" s="11">
        <f t="shared" si="7"/>
        <v>0</v>
      </c>
      <c r="F186" s="11">
        <f t="shared" si="5"/>
        <v>-3622500000</v>
      </c>
      <c r="G186" s="11" t="s">
        <v>1034</v>
      </c>
    </row>
    <row r="187" spans="1:7">
      <c r="A187" s="11" t="s">
        <v>1033</v>
      </c>
      <c r="B187" s="3">
        <v>-1100000</v>
      </c>
      <c r="C187" s="11">
        <v>0</v>
      </c>
      <c r="D187" s="11">
        <f t="shared" si="8"/>
        <v>40</v>
      </c>
      <c r="E187" s="11">
        <f t="shared" si="7"/>
        <v>0</v>
      </c>
      <c r="F187" s="11">
        <f t="shared" si="5"/>
        <v>-44000000</v>
      </c>
      <c r="G187" s="11" t="s">
        <v>1034</v>
      </c>
    </row>
    <row r="188" spans="1:7">
      <c r="A188" s="11" t="s">
        <v>1033</v>
      </c>
      <c r="B188" s="3">
        <v>3000000</v>
      </c>
      <c r="C188" s="11">
        <v>1</v>
      </c>
      <c r="D188" s="11">
        <f t="shared" si="8"/>
        <v>40</v>
      </c>
      <c r="E188" s="11">
        <f t="shared" si="7"/>
        <v>1</v>
      </c>
      <c r="F188" s="11">
        <f t="shared" si="5"/>
        <v>117000000</v>
      </c>
      <c r="G188" s="11" t="s">
        <v>1045</v>
      </c>
    </row>
    <row r="189" spans="1:7">
      <c r="A189" s="11" t="s">
        <v>1044</v>
      </c>
      <c r="B189" s="3">
        <v>2000000</v>
      </c>
      <c r="C189" s="11">
        <v>0</v>
      </c>
      <c r="D189" s="11">
        <f t="shared" si="8"/>
        <v>39</v>
      </c>
      <c r="E189" s="11">
        <f t="shared" si="7"/>
        <v>1</v>
      </c>
      <c r="F189" s="11">
        <f t="shared" si="5"/>
        <v>76000000</v>
      </c>
      <c r="G189" s="11" t="s">
        <v>1045</v>
      </c>
    </row>
    <row r="190" spans="1:7">
      <c r="A190" s="11" t="s">
        <v>1044</v>
      </c>
      <c r="B190" s="3">
        <v>-5000000</v>
      </c>
      <c r="C190" s="11">
        <v>1</v>
      </c>
      <c r="D190" s="11">
        <f t="shared" si="8"/>
        <v>39</v>
      </c>
      <c r="E190" s="11">
        <f t="shared" si="7"/>
        <v>0</v>
      </c>
      <c r="F190" s="11">
        <f t="shared" si="5"/>
        <v>-195000000</v>
      </c>
      <c r="G190" s="11" t="s">
        <v>1034</v>
      </c>
    </row>
    <row r="191" spans="1:7">
      <c r="A191" s="11" t="s">
        <v>1050</v>
      </c>
      <c r="B191" s="3">
        <v>483248</v>
      </c>
      <c r="C191" s="11">
        <v>4</v>
      </c>
      <c r="D191" s="11">
        <f t="shared" si="8"/>
        <v>38</v>
      </c>
      <c r="E191" s="11">
        <f t="shared" si="7"/>
        <v>1</v>
      </c>
      <c r="F191" s="11">
        <f t="shared" si="5"/>
        <v>17880176</v>
      </c>
      <c r="G191" s="11" t="s">
        <v>1052</v>
      </c>
    </row>
    <row r="192" spans="1:7">
      <c r="A192" s="11" t="s">
        <v>1078</v>
      </c>
      <c r="B192" s="3">
        <v>-115300</v>
      </c>
      <c r="C192" s="11">
        <v>4</v>
      </c>
      <c r="D192" s="11">
        <f t="shared" si="8"/>
        <v>34</v>
      </c>
      <c r="E192" s="11">
        <f t="shared" si="7"/>
        <v>0</v>
      </c>
      <c r="F192" s="11">
        <f t="shared" si="5"/>
        <v>-3920200</v>
      </c>
      <c r="G192" s="11" t="s">
        <v>1079</v>
      </c>
    </row>
    <row r="193" spans="1:7">
      <c r="A193" s="11" t="s">
        <v>1089</v>
      </c>
      <c r="B193" s="3">
        <v>90000000</v>
      </c>
      <c r="C193" s="11">
        <v>7</v>
      </c>
      <c r="D193" s="11">
        <f t="shared" si="8"/>
        <v>30</v>
      </c>
      <c r="E193" s="11">
        <f t="shared" si="7"/>
        <v>1</v>
      </c>
      <c r="F193" s="11">
        <f t="shared" si="5"/>
        <v>2610000000</v>
      </c>
      <c r="G193" s="11" t="s">
        <v>1090</v>
      </c>
    </row>
    <row r="194" spans="1:7">
      <c r="A194" s="11" t="s">
        <v>1108</v>
      </c>
      <c r="B194" s="3">
        <v>52000000</v>
      </c>
      <c r="C194" s="11">
        <v>0</v>
      </c>
      <c r="D194" s="11">
        <f t="shared" si="8"/>
        <v>23</v>
      </c>
      <c r="E194" s="11">
        <f t="shared" si="7"/>
        <v>1</v>
      </c>
      <c r="F194" s="11">
        <f t="shared" si="5"/>
        <v>1144000000</v>
      </c>
      <c r="G194" s="11" t="s">
        <v>1114</v>
      </c>
    </row>
    <row r="195" spans="1:7">
      <c r="A195" s="11" t="s">
        <v>1108</v>
      </c>
      <c r="B195" s="3">
        <v>25000000</v>
      </c>
      <c r="C195" s="11">
        <v>0</v>
      </c>
      <c r="D195" s="11">
        <f t="shared" si="8"/>
        <v>23</v>
      </c>
      <c r="E195" s="11">
        <f t="shared" si="7"/>
        <v>1</v>
      </c>
      <c r="F195" s="105">
        <f t="shared" si="5"/>
        <v>550000000</v>
      </c>
      <c r="G195" s="11" t="s">
        <v>1115</v>
      </c>
    </row>
    <row r="196" spans="1:7">
      <c r="A196" s="11" t="s">
        <v>1108</v>
      </c>
      <c r="B196" s="3">
        <v>-168000000</v>
      </c>
      <c r="C196" s="11">
        <v>7</v>
      </c>
      <c r="D196" s="105">
        <f t="shared" si="8"/>
        <v>23</v>
      </c>
      <c r="E196" s="105">
        <f t="shared" si="7"/>
        <v>0</v>
      </c>
      <c r="F196" s="105">
        <f t="shared" si="5"/>
        <v>-3864000000</v>
      </c>
      <c r="G196" s="11" t="s">
        <v>1116</v>
      </c>
    </row>
    <row r="197" spans="1:7">
      <c r="A197" s="11" t="s">
        <v>1184</v>
      </c>
      <c r="B197" s="3">
        <v>-165500</v>
      </c>
      <c r="C197" s="11">
        <v>4</v>
      </c>
      <c r="D197" s="105">
        <f t="shared" si="8"/>
        <v>16</v>
      </c>
      <c r="E197" s="105">
        <f t="shared" si="7"/>
        <v>0</v>
      </c>
      <c r="F197" s="105">
        <f t="shared" si="5"/>
        <v>-2648000</v>
      </c>
      <c r="G197" s="11" t="s">
        <v>1185</v>
      </c>
    </row>
    <row r="198" spans="1:7">
      <c r="A198" s="105" t="s">
        <v>1233</v>
      </c>
      <c r="B198" s="119">
        <v>-200000</v>
      </c>
      <c r="C198" s="105">
        <v>0</v>
      </c>
      <c r="D198" s="105">
        <f t="shared" si="8"/>
        <v>12</v>
      </c>
      <c r="E198" s="105">
        <f t="shared" si="7"/>
        <v>0</v>
      </c>
      <c r="F198" s="105">
        <f t="shared" si="5"/>
        <v>-2400000</v>
      </c>
      <c r="G198" s="105" t="s">
        <v>1234</v>
      </c>
    </row>
    <row r="199" spans="1:7">
      <c r="A199" s="105" t="s">
        <v>1233</v>
      </c>
      <c r="B199" s="119">
        <v>-46981</v>
      </c>
      <c r="C199" s="105">
        <v>3</v>
      </c>
      <c r="D199" s="105">
        <f t="shared" si="8"/>
        <v>12</v>
      </c>
      <c r="E199" s="105">
        <f t="shared" si="7"/>
        <v>0</v>
      </c>
      <c r="F199" s="105">
        <f t="shared" si="5"/>
        <v>-563772</v>
      </c>
      <c r="G199" s="105" t="s">
        <v>875</v>
      </c>
    </row>
    <row r="200" spans="1:7">
      <c r="A200" s="105" t="s">
        <v>1245</v>
      </c>
      <c r="B200" s="119">
        <v>-4650</v>
      </c>
      <c r="C200" s="105">
        <v>2</v>
      </c>
      <c r="D200" s="105">
        <f t="shared" si="8"/>
        <v>9</v>
      </c>
      <c r="E200" s="105">
        <f t="shared" si="7"/>
        <v>0</v>
      </c>
      <c r="F200" s="105">
        <f t="shared" si="5"/>
        <v>-41850</v>
      </c>
      <c r="G200" s="105" t="s">
        <v>875</v>
      </c>
    </row>
    <row r="201" spans="1:7">
      <c r="A201" s="105" t="s">
        <v>1257</v>
      </c>
      <c r="B201" s="119">
        <v>159828</v>
      </c>
      <c r="C201" s="105">
        <v>3</v>
      </c>
      <c r="D201" s="105">
        <f t="shared" si="8"/>
        <v>7</v>
      </c>
      <c r="E201" s="105">
        <f t="shared" si="7"/>
        <v>1</v>
      </c>
      <c r="F201" s="105">
        <f t="shared" si="5"/>
        <v>958968</v>
      </c>
      <c r="G201" s="105" t="s">
        <v>510</v>
      </c>
    </row>
    <row r="202" spans="1:7">
      <c r="A202" s="105" t="s">
        <v>1269</v>
      </c>
      <c r="B202" s="119">
        <v>-300500</v>
      </c>
      <c r="C202" s="105">
        <v>0</v>
      </c>
      <c r="D202" s="105">
        <f t="shared" si="8"/>
        <v>4</v>
      </c>
      <c r="E202" s="105">
        <f t="shared" si="7"/>
        <v>0</v>
      </c>
      <c r="F202" s="105">
        <f t="shared" si="5"/>
        <v>-1202000</v>
      </c>
      <c r="G202" s="105" t="s">
        <v>1273</v>
      </c>
    </row>
    <row r="203" spans="1:7">
      <c r="A203" s="105" t="s">
        <v>1269</v>
      </c>
      <c r="B203" s="119">
        <v>6000000</v>
      </c>
      <c r="C203" s="105">
        <v>2</v>
      </c>
      <c r="D203" s="105">
        <f t="shared" si="8"/>
        <v>4</v>
      </c>
      <c r="E203" s="105">
        <f t="shared" si="7"/>
        <v>1</v>
      </c>
      <c r="F203" s="105">
        <f t="shared" si="5"/>
        <v>18000000</v>
      </c>
      <c r="G203" s="105" t="s">
        <v>1274</v>
      </c>
    </row>
    <row r="204" spans="1:7">
      <c r="A204" s="105" t="s">
        <v>1283</v>
      </c>
      <c r="B204" s="119">
        <v>-685000</v>
      </c>
      <c r="C204" s="105">
        <v>1</v>
      </c>
      <c r="D204" s="105">
        <f t="shared" si="8"/>
        <v>2</v>
      </c>
      <c r="E204" s="105">
        <f t="shared" si="7"/>
        <v>0</v>
      </c>
      <c r="F204" s="105">
        <f t="shared" si="5"/>
        <v>-1370000</v>
      </c>
      <c r="G204" s="105" t="s">
        <v>1284</v>
      </c>
    </row>
    <row r="205" spans="1:7">
      <c r="A205" s="105" t="s">
        <v>1285</v>
      </c>
      <c r="B205" s="119">
        <v>-3000000</v>
      </c>
      <c r="C205" s="105">
        <v>1</v>
      </c>
      <c r="D205" s="105">
        <f t="shared" si="8"/>
        <v>1</v>
      </c>
      <c r="E205" s="105">
        <f t="shared" si="7"/>
        <v>0</v>
      </c>
      <c r="F205" s="105">
        <f t="shared" si="5"/>
        <v>-3000000</v>
      </c>
      <c r="G205" s="105" t="s">
        <v>724</v>
      </c>
    </row>
    <row r="206" spans="1:7">
      <c r="A206" s="105"/>
      <c r="B206" s="119"/>
      <c r="C206" s="105"/>
      <c r="D206" s="105">
        <f t="shared" si="8"/>
        <v>0</v>
      </c>
      <c r="E206" s="105">
        <f t="shared" si="7"/>
        <v>0</v>
      </c>
      <c r="F206" s="105">
        <f t="shared" si="5"/>
        <v>0</v>
      </c>
      <c r="G206" s="105"/>
    </row>
    <row r="207" spans="1:7">
      <c r="A207" s="105"/>
      <c r="B207" s="119"/>
      <c r="C207" s="105"/>
      <c r="D207" s="105">
        <f t="shared" si="8"/>
        <v>0</v>
      </c>
      <c r="E207" s="105">
        <f t="shared" si="7"/>
        <v>0</v>
      </c>
      <c r="F207" s="105">
        <f t="shared" si="5"/>
        <v>0</v>
      </c>
      <c r="G207" s="105" t="s">
        <v>25</v>
      </c>
    </row>
    <row r="208" spans="1:7">
      <c r="A208" s="105"/>
      <c r="B208" s="119"/>
      <c r="C208" s="105"/>
      <c r="D208" s="105">
        <f t="shared" si="8"/>
        <v>0</v>
      </c>
      <c r="E208" s="105">
        <f t="shared" si="7"/>
        <v>0</v>
      </c>
      <c r="F208" s="105">
        <f t="shared" si="5"/>
        <v>0</v>
      </c>
      <c r="G208" s="105"/>
    </row>
    <row r="209" spans="1:7">
      <c r="A209" s="105"/>
      <c r="B209" s="119"/>
      <c r="C209" s="105"/>
      <c r="D209" s="105">
        <f t="shared" si="8"/>
        <v>0</v>
      </c>
      <c r="E209" s="105">
        <f t="shared" si="7"/>
        <v>0</v>
      </c>
      <c r="F209" s="105">
        <f t="shared" si="5"/>
        <v>0</v>
      </c>
      <c r="G209" s="105"/>
    </row>
    <row r="210" spans="1:7">
      <c r="A210" s="105"/>
      <c r="B210" s="119"/>
      <c r="C210" s="105"/>
      <c r="D210" s="105">
        <f t="shared" si="8"/>
        <v>0</v>
      </c>
      <c r="E210" s="105">
        <f t="shared" si="7"/>
        <v>0</v>
      </c>
      <c r="F210" s="105">
        <f t="shared" si="5"/>
        <v>0</v>
      </c>
      <c r="G210" s="105"/>
    </row>
    <row r="211" spans="1:7">
      <c r="A211" s="105"/>
      <c r="B211" s="119"/>
      <c r="C211" s="105"/>
      <c r="D211" s="105">
        <f t="shared" si="8"/>
        <v>0</v>
      </c>
      <c r="E211" s="105">
        <f t="shared" si="7"/>
        <v>0</v>
      </c>
      <c r="F211" s="105">
        <f t="shared" si="5"/>
        <v>0</v>
      </c>
      <c r="G211" s="105"/>
    </row>
    <row r="212" spans="1:7">
      <c r="A212" s="105"/>
      <c r="B212" s="119"/>
      <c r="C212" s="105"/>
      <c r="D212" s="105">
        <f t="shared" si="8"/>
        <v>0</v>
      </c>
      <c r="E212" s="105">
        <f t="shared" si="7"/>
        <v>0</v>
      </c>
      <c r="F212" s="105">
        <f t="shared" si="5"/>
        <v>0</v>
      </c>
      <c r="G212" s="105"/>
    </row>
    <row r="213" spans="1:7">
      <c r="A213" s="105" t="s">
        <v>25</v>
      </c>
      <c r="B213" s="119"/>
      <c r="C213" s="105"/>
      <c r="D213" s="105">
        <f t="shared" si="8"/>
        <v>0</v>
      </c>
      <c r="E213" s="105">
        <f t="shared" si="7"/>
        <v>0</v>
      </c>
      <c r="F213" s="105">
        <f t="shared" si="5"/>
        <v>0</v>
      </c>
      <c r="G213" s="105"/>
    </row>
    <row r="214" spans="1:7">
      <c r="A214" s="105"/>
      <c r="B214" s="119"/>
      <c r="C214" s="105"/>
      <c r="D214" s="105">
        <f t="shared" si="8"/>
        <v>0</v>
      </c>
      <c r="E214" s="105">
        <f t="shared" si="7"/>
        <v>0</v>
      </c>
      <c r="F214" s="105">
        <f t="shared" si="5"/>
        <v>0</v>
      </c>
      <c r="G214" s="105"/>
    </row>
    <row r="215" spans="1:7">
      <c r="A215" s="105"/>
      <c r="B215" s="119"/>
      <c r="C215" s="105"/>
      <c r="D215" s="105">
        <f t="shared" si="8"/>
        <v>0</v>
      </c>
      <c r="E215" s="105">
        <f t="shared" si="7"/>
        <v>0</v>
      </c>
      <c r="F215" s="105">
        <f t="shared" si="5"/>
        <v>0</v>
      </c>
      <c r="G215" s="105"/>
    </row>
    <row r="216" spans="1:7">
      <c r="A216" s="105"/>
      <c r="B216" s="119"/>
      <c r="C216" s="105"/>
      <c r="D216" s="105">
        <f t="shared" si="8"/>
        <v>0</v>
      </c>
      <c r="E216" s="105">
        <f t="shared" si="7"/>
        <v>0</v>
      </c>
      <c r="F216" s="105">
        <f t="shared" si="5"/>
        <v>0</v>
      </c>
      <c r="G216" s="105"/>
    </row>
    <row r="217" spans="1:7">
      <c r="A217" s="105"/>
      <c r="B217" s="119"/>
      <c r="C217" s="105"/>
      <c r="D217" s="105">
        <f t="shared" si="8"/>
        <v>0</v>
      </c>
      <c r="E217" s="105">
        <f t="shared" si="7"/>
        <v>0</v>
      </c>
      <c r="F217" s="105">
        <f t="shared" si="5"/>
        <v>0</v>
      </c>
      <c r="G217" s="105"/>
    </row>
    <row r="218" spans="1:7">
      <c r="A218" s="105"/>
      <c r="B218" s="119"/>
      <c r="C218" s="105"/>
      <c r="D218" s="105">
        <f t="shared" si="8"/>
        <v>0</v>
      </c>
      <c r="E218" s="105">
        <f t="shared" si="7"/>
        <v>0</v>
      </c>
      <c r="F218" s="105">
        <f t="shared" si="5"/>
        <v>0</v>
      </c>
      <c r="G218" s="105"/>
    </row>
    <row r="219" spans="1:7">
      <c r="A219" s="105"/>
      <c r="B219" s="119"/>
      <c r="C219" s="105"/>
      <c r="D219" s="105">
        <f t="shared" si="8"/>
        <v>0</v>
      </c>
      <c r="E219" s="105">
        <f t="shared" si="7"/>
        <v>0</v>
      </c>
      <c r="F219" s="105">
        <f t="shared" si="5"/>
        <v>0</v>
      </c>
      <c r="G219" s="105"/>
    </row>
    <row r="220" spans="1:7">
      <c r="A220" s="105"/>
      <c r="B220" s="119"/>
      <c r="C220" s="105"/>
      <c r="D220" s="105">
        <f t="shared" si="8"/>
        <v>0</v>
      </c>
      <c r="E220" s="105">
        <f t="shared" si="7"/>
        <v>0</v>
      </c>
      <c r="F220" s="105">
        <f t="shared" si="5"/>
        <v>0</v>
      </c>
      <c r="G220" s="105"/>
    </row>
    <row r="221" spans="1:7">
      <c r="A221" s="105"/>
      <c r="B221" s="119"/>
      <c r="C221" s="105"/>
      <c r="D221" s="105">
        <f t="shared" si="8"/>
        <v>0</v>
      </c>
      <c r="E221" s="105">
        <f t="shared" si="7"/>
        <v>0</v>
      </c>
      <c r="F221" s="105">
        <f t="shared" si="5"/>
        <v>0</v>
      </c>
      <c r="G221" s="105"/>
    </row>
    <row r="222" spans="1:7">
      <c r="A222" s="105"/>
      <c r="B222" s="119"/>
      <c r="C222" s="105"/>
      <c r="D222" s="105">
        <f t="shared" si="8"/>
        <v>0</v>
      </c>
      <c r="E222" s="105">
        <f t="shared" si="7"/>
        <v>0</v>
      </c>
      <c r="F222" s="105">
        <f t="shared" si="5"/>
        <v>0</v>
      </c>
      <c r="G222" s="105"/>
    </row>
    <row r="223" spans="1:7">
      <c r="A223" s="105"/>
      <c r="B223" s="119"/>
      <c r="C223" s="105"/>
      <c r="D223" s="105">
        <f t="shared" si="8"/>
        <v>0</v>
      </c>
      <c r="E223" s="105">
        <f t="shared" si="7"/>
        <v>0</v>
      </c>
      <c r="F223" s="105">
        <f t="shared" si="5"/>
        <v>0</v>
      </c>
      <c r="G223" s="105"/>
    </row>
    <row r="224" spans="1:7">
      <c r="A224" s="11" t="s">
        <v>25</v>
      </c>
      <c r="B224" s="3"/>
      <c r="C224" s="11"/>
      <c r="D224" s="105">
        <f t="shared" si="8"/>
        <v>0</v>
      </c>
      <c r="E224" s="105">
        <f t="shared" si="7"/>
        <v>0</v>
      </c>
      <c r="F224" s="105">
        <f t="shared" si="5"/>
        <v>0</v>
      </c>
      <c r="G224" s="11" t="s">
        <v>25</v>
      </c>
    </row>
    <row r="225" spans="1:7">
      <c r="A225" s="11"/>
      <c r="B225" s="3"/>
      <c r="C225" s="11"/>
      <c r="D225" s="105">
        <f t="shared" si="8"/>
        <v>0</v>
      </c>
      <c r="E225" s="105">
        <f t="shared" si="7"/>
        <v>0</v>
      </c>
      <c r="F225" s="105">
        <f t="shared" si="5"/>
        <v>0</v>
      </c>
      <c r="G225" s="11"/>
    </row>
    <row r="226" spans="1:7">
      <c r="A226" s="11"/>
      <c r="B226" s="3">
        <v>0</v>
      </c>
      <c r="C226" s="11">
        <v>0</v>
      </c>
      <c r="D226" s="105">
        <f t="shared" si="8"/>
        <v>0</v>
      </c>
      <c r="E226" s="105">
        <f t="shared" si="7"/>
        <v>0</v>
      </c>
      <c r="F226" s="105">
        <f t="shared" si="5"/>
        <v>0</v>
      </c>
      <c r="G226" s="11"/>
    </row>
    <row r="227" spans="1:7">
      <c r="A227" s="11"/>
      <c r="B227" s="3"/>
      <c r="C227" s="11"/>
      <c r="D227" s="105">
        <f t="shared" si="8"/>
        <v>0</v>
      </c>
      <c r="E227" s="105">
        <f t="shared" si="7"/>
        <v>0</v>
      </c>
      <c r="F227" s="105">
        <f t="shared" ref="F227" si="9">B227*(D227-E227)</f>
        <v>0</v>
      </c>
      <c r="G227" s="11"/>
    </row>
    <row r="228" spans="1:7">
      <c r="A228" s="11"/>
      <c r="B228" s="29">
        <f>SUM(B2:B226)</f>
        <v>2741544</v>
      </c>
      <c r="C228" s="11"/>
      <c r="D228" s="11"/>
      <c r="E228" s="11"/>
      <c r="F228" s="29">
        <f>SUM(F2:F226)</f>
        <v>18776141380</v>
      </c>
      <c r="G228" s="11"/>
    </row>
    <row r="229" spans="1:7">
      <c r="A229" s="11"/>
      <c r="B229" s="11" t="s">
        <v>283</v>
      </c>
      <c r="C229" s="11"/>
      <c r="D229" s="11"/>
      <c r="E229" s="11"/>
      <c r="F229" s="11" t="s">
        <v>284</v>
      </c>
      <c r="G229" s="11"/>
    </row>
    <row r="230" spans="1:7">
      <c r="A230" s="11"/>
      <c r="B230" s="11"/>
      <c r="C230" s="11"/>
      <c r="D230" s="11"/>
      <c r="E230" s="11"/>
      <c r="F230" s="11"/>
      <c r="G230" s="11"/>
    </row>
    <row r="231" spans="1:7">
      <c r="A231" s="11"/>
      <c r="B231" s="11"/>
      <c r="C231" s="11"/>
      <c r="D231" s="11"/>
      <c r="E231" s="11"/>
      <c r="F231" s="3">
        <f>F228/D2</f>
        <v>27016030.762589928</v>
      </c>
      <c r="G231" s="11"/>
    </row>
    <row r="232" spans="1:7">
      <c r="A232" s="11"/>
      <c r="B232" s="11"/>
      <c r="C232" s="11"/>
      <c r="D232" s="11"/>
      <c r="E232" s="11"/>
      <c r="F232" s="11" t="s">
        <v>286</v>
      </c>
      <c r="G232" s="11"/>
    </row>
    <row r="237" spans="1:7">
      <c r="D237" t="s">
        <v>25</v>
      </c>
    </row>
    <row r="238" spans="1:7">
      <c r="B238" s="7"/>
    </row>
    <row r="240" spans="1:7" ht="75">
      <c r="E240" s="22" t="s">
        <v>559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9"/>
  <sheetViews>
    <sheetView zoomScaleNormal="100" workbookViewId="0">
      <pane ySplit="1" topLeftCell="A101" activePane="bottomLeft" state="frozen"/>
      <selection pane="bottomLeft" activeCell="D122" sqref="D122"/>
    </sheetView>
  </sheetViews>
  <sheetFormatPr defaultRowHeight="15"/>
  <cols>
    <col min="1" max="1" width="10.7109375" bestFit="1" customWidth="1"/>
    <col min="2" max="2" width="18.140625" bestFit="1" customWidth="1"/>
    <col min="3" max="3" width="35" bestFit="1" customWidth="1"/>
    <col min="4" max="4" width="12" customWidth="1"/>
    <col min="5" max="6" width="14.28515625" customWidth="1"/>
    <col min="7" max="7" width="19.5703125" customWidth="1"/>
    <col min="10" max="10" width="31.85546875" bestFit="1" customWidth="1"/>
    <col min="11" max="11" width="26.5703125" bestFit="1" customWidth="1"/>
    <col min="12" max="12" width="22.42578125" bestFit="1" customWidth="1"/>
    <col min="13" max="13" width="39.28515625" bestFit="1" customWidth="1"/>
    <col min="14" max="14" width="31.7109375" bestFit="1" customWidth="1"/>
    <col min="15" max="16" width="14" bestFit="1" customWidth="1"/>
    <col min="17" max="17" width="15.140625" bestFit="1" customWidth="1"/>
    <col min="18" max="18" width="16.140625" bestFit="1" customWidth="1"/>
  </cols>
  <sheetData>
    <row r="1" spans="1:27" ht="4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1:27">
      <c r="A2" s="11" t="s">
        <v>279</v>
      </c>
      <c r="B2" s="3">
        <v>50000</v>
      </c>
      <c r="C2" s="11" t="s">
        <v>1</v>
      </c>
      <c r="D2" s="11">
        <v>4</v>
      </c>
      <c r="E2" s="11">
        <f>D2+E3</f>
        <v>513</v>
      </c>
      <c r="F2" s="11">
        <f>IF(B2&gt;0,1,0)</f>
        <v>1</v>
      </c>
      <c r="G2" s="11">
        <f>B2*(E2-F2)</f>
        <v>25600000</v>
      </c>
      <c r="J2" s="25"/>
      <c r="K2" s="25"/>
      <c r="L2" s="25"/>
      <c r="M2" s="27"/>
      <c r="N2" s="27"/>
      <c r="O2" s="27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 spans="1:27">
      <c r="A3" s="11" t="s">
        <v>278</v>
      </c>
      <c r="B3" s="3">
        <v>3000000</v>
      </c>
      <c r="C3" s="11"/>
      <c r="D3" s="11">
        <v>1</v>
      </c>
      <c r="E3" s="11">
        <f t="shared" ref="E3:E66" si="0">D3+E4</f>
        <v>509</v>
      </c>
      <c r="F3" s="11">
        <f t="shared" ref="F3:F38" si="1">IF(B3&gt;0,1,0)</f>
        <v>1</v>
      </c>
      <c r="G3" s="11">
        <f t="shared" ref="G3:G23" si="2">B3*(E3-F3)</f>
        <v>1524000000</v>
      </c>
      <c r="J3" s="25"/>
      <c r="K3" s="26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7"/>
      <c r="Y3" s="27"/>
      <c r="Z3" s="27"/>
      <c r="AA3" s="25"/>
    </row>
    <row r="4" spans="1:27">
      <c r="A4" s="11" t="s">
        <v>277</v>
      </c>
      <c r="B4" s="3">
        <v>3000000</v>
      </c>
      <c r="C4" s="11"/>
      <c r="D4" s="11">
        <v>0</v>
      </c>
      <c r="E4" s="11">
        <f t="shared" si="0"/>
        <v>508</v>
      </c>
      <c r="F4" s="11">
        <f t="shared" si="1"/>
        <v>1</v>
      </c>
      <c r="G4" s="11">
        <f t="shared" si="2"/>
        <v>1521000000</v>
      </c>
      <c r="Q4" s="25"/>
      <c r="R4" s="25"/>
      <c r="S4" s="25"/>
      <c r="T4" s="25"/>
      <c r="U4" s="25"/>
      <c r="V4" s="26"/>
      <c r="W4" s="25"/>
      <c r="X4" s="25"/>
      <c r="Y4" s="25"/>
      <c r="Z4" s="25"/>
      <c r="AA4" s="25"/>
    </row>
    <row r="5" spans="1:27">
      <c r="A5" s="11" t="s">
        <v>277</v>
      </c>
      <c r="B5" s="3">
        <v>15000000</v>
      </c>
      <c r="C5" s="11"/>
      <c r="D5" s="11">
        <v>1</v>
      </c>
      <c r="E5" s="11">
        <f t="shared" si="0"/>
        <v>508</v>
      </c>
      <c r="F5" s="11">
        <f t="shared" si="1"/>
        <v>1</v>
      </c>
      <c r="G5" s="11">
        <f t="shared" si="2"/>
        <v>7605000000</v>
      </c>
      <c r="L5" t="s">
        <v>129</v>
      </c>
      <c r="M5" t="s">
        <v>128</v>
      </c>
      <c r="N5" t="s">
        <v>130</v>
      </c>
      <c r="O5" t="s">
        <v>287</v>
      </c>
      <c r="Q5" s="25"/>
      <c r="R5" s="25"/>
      <c r="S5" s="25"/>
      <c r="T5" s="25"/>
      <c r="U5" s="25"/>
      <c r="V5" s="26"/>
      <c r="W5" s="25"/>
      <c r="X5" s="25"/>
      <c r="Y5" s="25"/>
      <c r="Z5" s="25"/>
      <c r="AA5" s="25"/>
    </row>
    <row r="6" spans="1:27">
      <c r="A6" s="11" t="s">
        <v>276</v>
      </c>
      <c r="B6" s="3">
        <v>3000000</v>
      </c>
      <c r="C6" s="11"/>
      <c r="D6" s="11">
        <v>1</v>
      </c>
      <c r="E6" s="11">
        <f t="shared" si="0"/>
        <v>507</v>
      </c>
      <c r="F6" s="11">
        <f t="shared" si="1"/>
        <v>1</v>
      </c>
      <c r="G6" s="11">
        <f t="shared" si="2"/>
        <v>1518000000</v>
      </c>
      <c r="K6" t="s">
        <v>288</v>
      </c>
      <c r="L6" s="34">
        <v>410023079974</v>
      </c>
      <c r="M6" s="33" t="s">
        <v>856</v>
      </c>
      <c r="N6" t="s">
        <v>1083</v>
      </c>
      <c r="O6" t="s">
        <v>279</v>
      </c>
      <c r="Q6" s="25"/>
      <c r="R6" s="25"/>
      <c r="S6" s="25"/>
      <c r="T6" s="25"/>
      <c r="U6" s="25"/>
      <c r="V6" s="26"/>
      <c r="W6" s="25"/>
      <c r="X6" s="25"/>
      <c r="Y6" s="25"/>
      <c r="Z6" s="25"/>
      <c r="AA6" s="25"/>
    </row>
    <row r="7" spans="1:27">
      <c r="A7" s="11" t="s">
        <v>275</v>
      </c>
      <c r="B7" s="3">
        <v>-3000000</v>
      </c>
      <c r="C7" s="11"/>
      <c r="D7" s="11">
        <v>0</v>
      </c>
      <c r="E7" s="11">
        <f t="shared" si="0"/>
        <v>506</v>
      </c>
      <c r="F7" s="11">
        <f t="shared" si="1"/>
        <v>0</v>
      </c>
      <c r="G7" s="11">
        <f t="shared" si="2"/>
        <v>-1518000000</v>
      </c>
      <c r="K7" t="s">
        <v>289</v>
      </c>
      <c r="L7" s="34">
        <v>410023384051</v>
      </c>
      <c r="M7" s="33" t="s">
        <v>326</v>
      </c>
      <c r="O7" t="s">
        <v>292</v>
      </c>
      <c r="Q7" s="25"/>
      <c r="R7" s="25"/>
      <c r="S7" s="25"/>
      <c r="T7" s="25"/>
      <c r="U7" s="25"/>
      <c r="V7" s="26"/>
      <c r="W7" s="25"/>
      <c r="X7" s="25"/>
      <c r="Y7" s="25"/>
      <c r="Z7" s="25"/>
      <c r="AA7" s="25"/>
    </row>
    <row r="8" spans="1:27">
      <c r="A8" s="11" t="s">
        <v>275</v>
      </c>
      <c r="B8" s="3">
        <v>-200000</v>
      </c>
      <c r="C8" s="11"/>
      <c r="D8" s="11">
        <v>0</v>
      </c>
      <c r="E8" s="11">
        <f t="shared" si="0"/>
        <v>506</v>
      </c>
      <c r="F8" s="11">
        <f t="shared" si="1"/>
        <v>0</v>
      </c>
      <c r="G8" s="11">
        <f t="shared" si="2"/>
        <v>-101200000</v>
      </c>
      <c r="K8" t="s">
        <v>290</v>
      </c>
      <c r="L8" s="34">
        <v>410023383764</v>
      </c>
      <c r="M8" s="33" t="s">
        <v>325</v>
      </c>
      <c r="N8" t="s">
        <v>293</v>
      </c>
      <c r="O8" t="s">
        <v>292</v>
      </c>
      <c r="Q8" s="25"/>
      <c r="R8" s="25"/>
      <c r="S8" s="25"/>
      <c r="T8" s="25"/>
      <c r="U8" s="25"/>
      <c r="V8" s="26"/>
      <c r="W8" s="25"/>
      <c r="X8" s="25"/>
      <c r="Y8" s="25"/>
      <c r="Z8" s="25"/>
      <c r="AA8" s="25"/>
    </row>
    <row r="9" spans="1:27">
      <c r="A9" s="11" t="s">
        <v>275</v>
      </c>
      <c r="B9" s="3">
        <v>3000000</v>
      </c>
      <c r="C9" s="11"/>
      <c r="D9" s="11">
        <v>1</v>
      </c>
      <c r="E9" s="11">
        <f t="shared" si="0"/>
        <v>506</v>
      </c>
      <c r="F9" s="11">
        <f t="shared" si="1"/>
        <v>1</v>
      </c>
      <c r="G9" s="11">
        <f>B9*(E9-F9)</f>
        <v>1515000000</v>
      </c>
      <c r="K9" t="s">
        <v>291</v>
      </c>
      <c r="L9" s="34">
        <v>410021971552</v>
      </c>
      <c r="M9" s="33" t="s">
        <v>698</v>
      </c>
      <c r="N9" t="s">
        <v>699</v>
      </c>
      <c r="O9" t="s">
        <v>294</v>
      </c>
      <c r="Q9" s="25"/>
      <c r="R9" s="25"/>
      <c r="S9" s="25"/>
      <c r="T9" s="25"/>
      <c r="U9" s="25"/>
      <c r="V9" s="26"/>
      <c r="W9" s="25"/>
      <c r="X9" s="25"/>
      <c r="Y9" s="25"/>
      <c r="Z9" s="25"/>
      <c r="AA9" s="25"/>
    </row>
    <row r="10" spans="1:27">
      <c r="A10" s="11" t="s">
        <v>222</v>
      </c>
      <c r="B10" s="3">
        <v>3000000</v>
      </c>
      <c r="C10" s="11"/>
      <c r="D10" s="11">
        <v>0</v>
      </c>
      <c r="E10" s="11">
        <f t="shared" si="0"/>
        <v>505</v>
      </c>
      <c r="F10" s="11">
        <f t="shared" si="1"/>
        <v>1</v>
      </c>
      <c r="G10" s="11">
        <f t="shared" si="2"/>
        <v>1512000000</v>
      </c>
      <c r="K10" t="s">
        <v>1084</v>
      </c>
      <c r="L10" s="34">
        <v>410021484671</v>
      </c>
      <c r="M10" s="33" t="s">
        <v>1085</v>
      </c>
      <c r="N10" t="s">
        <v>1087</v>
      </c>
      <c r="O10" t="s">
        <v>1088</v>
      </c>
      <c r="Q10" s="25"/>
      <c r="R10" s="25"/>
      <c r="S10" s="25"/>
      <c r="T10" s="25"/>
      <c r="U10" s="25"/>
      <c r="V10" s="26"/>
      <c r="W10" s="25"/>
      <c r="X10" s="25"/>
      <c r="Y10" s="25"/>
      <c r="Z10" s="25"/>
      <c r="AA10" s="25"/>
    </row>
    <row r="11" spans="1:27">
      <c r="A11" s="11" t="s">
        <v>222</v>
      </c>
      <c r="B11" s="3">
        <v>25000000</v>
      </c>
      <c r="C11" s="11"/>
      <c r="D11" s="11">
        <v>3</v>
      </c>
      <c r="E11" s="11">
        <f t="shared" si="0"/>
        <v>505</v>
      </c>
      <c r="F11" s="11">
        <f t="shared" si="1"/>
        <v>1</v>
      </c>
      <c r="G11" s="11">
        <f t="shared" si="2"/>
        <v>12600000000</v>
      </c>
      <c r="K11" t="s">
        <v>295</v>
      </c>
      <c r="L11" s="24" t="s">
        <v>297</v>
      </c>
      <c r="Q11" s="25"/>
      <c r="R11" s="25"/>
      <c r="S11" s="25"/>
      <c r="T11" s="25"/>
      <c r="U11" s="25"/>
      <c r="V11" s="26"/>
      <c r="W11" s="25"/>
      <c r="X11" s="25"/>
      <c r="Y11" s="25"/>
      <c r="Z11" s="25"/>
      <c r="AA11" s="25"/>
    </row>
    <row r="12" spans="1:27">
      <c r="A12" s="11" t="s">
        <v>228</v>
      </c>
      <c r="B12" s="3">
        <v>998330</v>
      </c>
      <c r="C12" s="11"/>
      <c r="D12" s="11">
        <v>0</v>
      </c>
      <c r="E12" s="11">
        <f t="shared" si="0"/>
        <v>502</v>
      </c>
      <c r="F12" s="11">
        <f t="shared" si="1"/>
        <v>1</v>
      </c>
      <c r="G12" s="11">
        <f t="shared" si="2"/>
        <v>500163330</v>
      </c>
      <c r="K12" t="s">
        <v>296</v>
      </c>
      <c r="L12" t="s">
        <v>298</v>
      </c>
      <c r="Q12" s="25"/>
      <c r="R12" s="25"/>
      <c r="S12" s="25"/>
      <c r="T12" s="25"/>
      <c r="U12" s="25"/>
      <c r="V12" s="26"/>
      <c r="W12" s="25"/>
      <c r="X12" s="25"/>
      <c r="Y12" s="25"/>
      <c r="Z12" s="25"/>
      <c r="AA12" s="25"/>
    </row>
    <row r="13" spans="1:27">
      <c r="A13" s="11" t="s">
        <v>228</v>
      </c>
      <c r="B13" s="3">
        <v>3000000</v>
      </c>
      <c r="C13" s="11"/>
      <c r="D13" s="11">
        <v>0</v>
      </c>
      <c r="E13" s="11">
        <f t="shared" si="0"/>
        <v>502</v>
      </c>
      <c r="F13" s="11">
        <f t="shared" si="1"/>
        <v>1</v>
      </c>
      <c r="G13" s="11">
        <f t="shared" si="2"/>
        <v>1503000000</v>
      </c>
      <c r="K13" t="s">
        <v>1241</v>
      </c>
      <c r="L13" t="s">
        <v>1238</v>
      </c>
      <c r="N13" t="s">
        <v>1243</v>
      </c>
      <c r="P13" t="s">
        <v>1237</v>
      </c>
      <c r="Q13" s="25"/>
      <c r="R13" s="25"/>
      <c r="S13" s="25"/>
      <c r="T13" s="25"/>
      <c r="U13" s="25"/>
      <c r="V13" s="26"/>
      <c r="W13" s="25"/>
      <c r="X13" s="25"/>
      <c r="Y13" s="25"/>
      <c r="Z13" s="25"/>
      <c r="AA13" s="25"/>
    </row>
    <row r="14" spans="1:27">
      <c r="A14" s="11" t="s">
        <v>228</v>
      </c>
      <c r="B14" s="3">
        <v>1191096</v>
      </c>
      <c r="C14" s="11"/>
      <c r="D14" s="11">
        <v>12</v>
      </c>
      <c r="E14" s="11">
        <f t="shared" si="0"/>
        <v>502</v>
      </c>
      <c r="F14" s="11">
        <f t="shared" si="1"/>
        <v>1</v>
      </c>
      <c r="G14" s="11">
        <f t="shared" si="2"/>
        <v>596739096</v>
      </c>
      <c r="K14" t="s">
        <v>1240</v>
      </c>
      <c r="L14" t="s">
        <v>1239</v>
      </c>
      <c r="M14" t="s">
        <v>1242</v>
      </c>
      <c r="N14" t="s">
        <v>1244</v>
      </c>
      <c r="Q14" s="25"/>
      <c r="R14" s="25"/>
      <c r="S14" s="25"/>
      <c r="T14" s="25"/>
      <c r="U14" s="25"/>
      <c r="V14" s="26"/>
      <c r="W14" s="25"/>
      <c r="X14" s="25"/>
      <c r="Y14" s="25"/>
      <c r="Z14" s="25"/>
      <c r="AA14" s="25"/>
    </row>
    <row r="15" spans="1:27">
      <c r="A15" s="11" t="s">
        <v>274</v>
      </c>
      <c r="B15" s="3">
        <v>2000000</v>
      </c>
      <c r="C15" s="11"/>
      <c r="D15" s="11">
        <v>12</v>
      </c>
      <c r="E15" s="11">
        <f t="shared" si="0"/>
        <v>490</v>
      </c>
      <c r="F15" s="11">
        <f t="shared" si="1"/>
        <v>1</v>
      </c>
      <c r="G15" s="11">
        <f t="shared" si="2"/>
        <v>978000000</v>
      </c>
      <c r="M15" s="130"/>
      <c r="N15" s="130"/>
      <c r="O15" s="132"/>
      <c r="P15" s="133"/>
      <c r="Q15" s="133"/>
      <c r="R15" s="131"/>
      <c r="S15" s="131"/>
      <c r="U15" s="25"/>
      <c r="V15" s="26"/>
      <c r="W15" s="25"/>
      <c r="X15" s="25"/>
      <c r="Y15" s="25"/>
      <c r="Z15" s="25"/>
      <c r="AA15" s="25"/>
    </row>
    <row r="16" spans="1:27">
      <c r="A16" s="11" t="s">
        <v>250</v>
      </c>
      <c r="B16" s="3">
        <v>3000000</v>
      </c>
      <c r="C16" s="11"/>
      <c r="D16" s="11">
        <v>1</v>
      </c>
      <c r="E16" s="11">
        <f t="shared" si="0"/>
        <v>478</v>
      </c>
      <c r="F16" s="11">
        <f t="shared" si="1"/>
        <v>1</v>
      </c>
      <c r="G16" s="11">
        <f t="shared" si="2"/>
        <v>1431000000</v>
      </c>
      <c r="U16" s="25"/>
      <c r="V16" s="26"/>
      <c r="W16" s="25"/>
      <c r="X16" s="25"/>
      <c r="Y16" s="25"/>
      <c r="Z16" s="25"/>
      <c r="AA16" s="25"/>
    </row>
    <row r="17" spans="1:27">
      <c r="A17" s="11" t="s">
        <v>273</v>
      </c>
      <c r="B17" s="3">
        <v>3000000</v>
      </c>
      <c r="C17" s="11"/>
      <c r="D17" s="11">
        <v>1</v>
      </c>
      <c r="E17" s="11">
        <f t="shared" si="0"/>
        <v>477</v>
      </c>
      <c r="F17" s="11">
        <f t="shared" si="1"/>
        <v>1</v>
      </c>
      <c r="G17" s="11">
        <f t="shared" si="2"/>
        <v>1428000000</v>
      </c>
      <c r="K17" t="s">
        <v>1258</v>
      </c>
      <c r="L17">
        <v>200011228</v>
      </c>
      <c r="M17" t="s">
        <v>1259</v>
      </c>
      <c r="U17" s="25"/>
      <c r="V17" s="26"/>
      <c r="W17" s="25"/>
      <c r="X17" s="25"/>
      <c r="Y17" s="25"/>
      <c r="Z17" s="25"/>
      <c r="AA17" s="25"/>
    </row>
    <row r="18" spans="1:27">
      <c r="A18" s="11" t="s">
        <v>272</v>
      </c>
      <c r="B18" s="3">
        <v>1900000</v>
      </c>
      <c r="C18" s="11"/>
      <c r="D18" s="11">
        <v>15</v>
      </c>
      <c r="E18" s="11">
        <f t="shared" si="0"/>
        <v>476</v>
      </c>
      <c r="F18" s="11">
        <f t="shared" si="1"/>
        <v>1</v>
      </c>
      <c r="G18" s="11">
        <f t="shared" si="2"/>
        <v>902500000</v>
      </c>
      <c r="U18" s="25"/>
      <c r="V18" s="26"/>
      <c r="W18" s="25"/>
      <c r="X18" s="25"/>
      <c r="Y18" s="25"/>
      <c r="Z18" s="25"/>
      <c r="AA18" s="25"/>
    </row>
    <row r="19" spans="1:27">
      <c r="A19" s="11" t="s">
        <v>262</v>
      </c>
      <c r="B19" s="3">
        <v>804513</v>
      </c>
      <c r="C19" s="11" t="s">
        <v>271</v>
      </c>
      <c r="D19" s="11">
        <v>1</v>
      </c>
      <c r="E19" s="11">
        <f t="shared" si="0"/>
        <v>461</v>
      </c>
      <c r="F19" s="11">
        <f t="shared" si="1"/>
        <v>1</v>
      </c>
      <c r="G19" s="11">
        <f t="shared" si="2"/>
        <v>370075980</v>
      </c>
      <c r="U19" s="25"/>
      <c r="V19" s="26"/>
      <c r="W19" s="25"/>
      <c r="X19" s="25"/>
      <c r="Y19" s="25"/>
      <c r="Z19" s="25"/>
      <c r="AA19" s="25"/>
    </row>
    <row r="20" spans="1:27">
      <c r="A20" s="11" t="s">
        <v>270</v>
      </c>
      <c r="B20" s="3">
        <v>3000000</v>
      </c>
      <c r="C20" s="11" t="s">
        <v>269</v>
      </c>
      <c r="D20" s="11">
        <v>6</v>
      </c>
      <c r="E20" s="11">
        <f t="shared" si="0"/>
        <v>460</v>
      </c>
      <c r="F20" s="11">
        <f t="shared" si="1"/>
        <v>1</v>
      </c>
      <c r="G20" s="11">
        <f t="shared" si="2"/>
        <v>1377000000</v>
      </c>
      <c r="U20" s="25"/>
      <c r="V20" s="26"/>
      <c r="W20" s="25"/>
      <c r="X20" s="25"/>
      <c r="Y20" s="25"/>
      <c r="Z20" s="25"/>
      <c r="AA20" s="25"/>
    </row>
    <row r="21" spans="1:27">
      <c r="A21" s="11" t="s">
        <v>268</v>
      </c>
      <c r="B21" s="3">
        <v>500000</v>
      </c>
      <c r="C21" s="11" t="s">
        <v>269</v>
      </c>
      <c r="D21" s="11">
        <v>14</v>
      </c>
      <c r="E21" s="11">
        <f>D21+E22</f>
        <v>454</v>
      </c>
      <c r="F21" s="11">
        <f t="shared" si="1"/>
        <v>1</v>
      </c>
      <c r="G21" s="11">
        <f t="shared" si="2"/>
        <v>226500000</v>
      </c>
      <c r="U21" s="25"/>
      <c r="V21" s="26"/>
      <c r="W21" s="25"/>
      <c r="X21" s="25"/>
      <c r="Y21" s="25"/>
      <c r="Z21" s="25"/>
      <c r="AA21" s="25"/>
    </row>
    <row r="22" spans="1:27">
      <c r="A22" s="11" t="s">
        <v>343</v>
      </c>
      <c r="B22" s="38">
        <v>-3000000</v>
      </c>
      <c r="C22" s="11" t="s">
        <v>344</v>
      </c>
      <c r="D22" s="11">
        <v>8</v>
      </c>
      <c r="E22" s="11">
        <f t="shared" si="0"/>
        <v>440</v>
      </c>
      <c r="F22" s="11">
        <f t="shared" si="1"/>
        <v>0</v>
      </c>
      <c r="G22" s="11">
        <f t="shared" si="2"/>
        <v>-1320000000</v>
      </c>
      <c r="U22" s="25"/>
      <c r="V22" s="26"/>
      <c r="W22" s="25"/>
      <c r="X22" s="25"/>
      <c r="Y22" s="25"/>
      <c r="Z22" s="25"/>
      <c r="AA22" s="25"/>
    </row>
    <row r="23" spans="1:27">
      <c r="A23" s="11" t="s">
        <v>403</v>
      </c>
      <c r="B23" s="38">
        <v>3000000</v>
      </c>
      <c r="C23" s="11" t="s">
        <v>404</v>
      </c>
      <c r="D23" s="11">
        <v>0</v>
      </c>
      <c r="E23" s="11">
        <f t="shared" si="0"/>
        <v>432</v>
      </c>
      <c r="F23" s="11">
        <f t="shared" si="1"/>
        <v>1</v>
      </c>
      <c r="G23" s="11">
        <f t="shared" si="2"/>
        <v>1293000000</v>
      </c>
      <c r="U23" s="25"/>
      <c r="V23" s="26"/>
      <c r="W23" s="25"/>
      <c r="X23" s="25"/>
      <c r="Y23" s="25"/>
      <c r="Z23" s="25"/>
      <c r="AA23" s="25"/>
    </row>
    <row r="24" spans="1:27">
      <c r="A24" s="11" t="s">
        <v>403</v>
      </c>
      <c r="B24" s="38">
        <v>630843</v>
      </c>
      <c r="C24" s="11" t="s">
        <v>400</v>
      </c>
      <c r="D24" s="11">
        <v>2</v>
      </c>
      <c r="E24" s="11">
        <f t="shared" si="0"/>
        <v>432</v>
      </c>
      <c r="F24" s="11">
        <f t="shared" si="1"/>
        <v>1</v>
      </c>
      <c r="G24" s="11">
        <f>B24*(E24-F24)</f>
        <v>271893333</v>
      </c>
      <c r="U24" s="25"/>
      <c r="V24" s="25"/>
      <c r="W24" s="25"/>
      <c r="X24" s="25"/>
      <c r="Y24" s="25"/>
      <c r="Z24" s="25"/>
      <c r="AA24" s="25"/>
    </row>
    <row r="25" spans="1:27">
      <c r="A25" s="11" t="s">
        <v>409</v>
      </c>
      <c r="B25" s="38">
        <v>-3200900</v>
      </c>
      <c r="C25" s="11" t="s">
        <v>411</v>
      </c>
      <c r="D25" s="11">
        <v>2</v>
      </c>
      <c r="E25" s="11">
        <f t="shared" si="0"/>
        <v>430</v>
      </c>
      <c r="F25" s="11">
        <f t="shared" si="1"/>
        <v>0</v>
      </c>
      <c r="G25" s="11">
        <f t="shared" ref="G25:G30" si="3">B25*(E25-F25)</f>
        <v>-1376387000</v>
      </c>
      <c r="U25" s="25"/>
      <c r="V25" s="25"/>
      <c r="W25" s="25"/>
      <c r="X25" s="25"/>
      <c r="Y25" s="25"/>
      <c r="Z25" s="25"/>
      <c r="AA25" s="25"/>
    </row>
    <row r="26" spans="1:27">
      <c r="A26" s="11" t="s">
        <v>421</v>
      </c>
      <c r="B26" s="38">
        <v>-3000900</v>
      </c>
      <c r="C26" s="11" t="s">
        <v>422</v>
      </c>
      <c r="D26" s="11">
        <v>2</v>
      </c>
      <c r="E26" s="11">
        <f t="shared" si="0"/>
        <v>428</v>
      </c>
      <c r="F26" s="11">
        <f t="shared" si="1"/>
        <v>0</v>
      </c>
      <c r="G26" s="11">
        <f t="shared" si="3"/>
        <v>-1284385200</v>
      </c>
      <c r="U26" s="25"/>
      <c r="V26" s="25"/>
      <c r="W26" s="25"/>
      <c r="X26" s="25"/>
      <c r="Y26" s="25"/>
      <c r="Z26" s="25"/>
      <c r="AA26" s="25"/>
    </row>
    <row r="27" spans="1:27">
      <c r="A27" s="11" t="s">
        <v>427</v>
      </c>
      <c r="B27" s="38">
        <v>1000000</v>
      </c>
      <c r="C27" s="11" t="s">
        <v>429</v>
      </c>
      <c r="D27" s="11">
        <v>0</v>
      </c>
      <c r="E27" s="11">
        <f t="shared" si="0"/>
        <v>426</v>
      </c>
      <c r="F27" s="11">
        <f t="shared" si="1"/>
        <v>1</v>
      </c>
      <c r="G27" s="11">
        <f t="shared" si="3"/>
        <v>425000000</v>
      </c>
      <c r="U27" s="25"/>
      <c r="V27" s="25"/>
      <c r="W27" s="25"/>
      <c r="X27" s="25"/>
      <c r="Y27" s="25"/>
      <c r="Z27" s="25"/>
      <c r="AA27" s="25"/>
    </row>
    <row r="28" spans="1:27">
      <c r="A28" s="11" t="s">
        <v>427</v>
      </c>
      <c r="B28" s="38">
        <v>6000000</v>
      </c>
      <c r="C28" s="11" t="s">
        <v>430</v>
      </c>
      <c r="D28" s="11">
        <v>0</v>
      </c>
      <c r="E28" s="11">
        <f t="shared" si="0"/>
        <v>426</v>
      </c>
      <c r="F28" s="11">
        <f t="shared" si="1"/>
        <v>1</v>
      </c>
      <c r="G28" s="11">
        <f t="shared" si="3"/>
        <v>2550000000</v>
      </c>
      <c r="U28" s="25"/>
      <c r="V28" s="25"/>
      <c r="W28" s="25"/>
      <c r="X28" s="25"/>
      <c r="Y28" s="25"/>
      <c r="Z28" s="25"/>
      <c r="AA28" s="25"/>
    </row>
    <row r="29" spans="1:27">
      <c r="A29" s="11" t="s">
        <v>427</v>
      </c>
      <c r="B29" s="38">
        <v>5800000</v>
      </c>
      <c r="C29" s="11" t="s">
        <v>431</v>
      </c>
      <c r="D29" s="11">
        <v>0</v>
      </c>
      <c r="E29" s="11">
        <f t="shared" si="0"/>
        <v>426</v>
      </c>
      <c r="F29" s="11">
        <f t="shared" si="1"/>
        <v>1</v>
      </c>
      <c r="G29" s="11">
        <f t="shared" si="3"/>
        <v>2465000000</v>
      </c>
      <c r="U29" s="25"/>
      <c r="V29" s="28"/>
      <c r="W29" s="25"/>
      <c r="X29" s="25"/>
      <c r="Y29" s="25"/>
      <c r="Z29" s="25"/>
      <c r="AA29" s="28"/>
    </row>
    <row r="30" spans="1:27">
      <c r="A30" s="11" t="s">
        <v>427</v>
      </c>
      <c r="B30" s="38">
        <v>-5000</v>
      </c>
      <c r="C30" s="11" t="s">
        <v>432</v>
      </c>
      <c r="D30" s="11">
        <v>1</v>
      </c>
      <c r="E30" s="11">
        <f t="shared" si="0"/>
        <v>426</v>
      </c>
      <c r="F30" s="11">
        <f t="shared" si="1"/>
        <v>0</v>
      </c>
      <c r="G30" s="11">
        <f t="shared" si="3"/>
        <v>-2130000</v>
      </c>
      <c r="U30" s="25"/>
      <c r="V30" s="25"/>
      <c r="W30" s="25"/>
      <c r="X30" s="25"/>
      <c r="Y30" s="25"/>
      <c r="Z30" s="25"/>
      <c r="AA30" s="25"/>
    </row>
    <row r="31" spans="1:27">
      <c r="A31" s="11" t="s">
        <v>442</v>
      </c>
      <c r="B31" s="38">
        <v>-26000000</v>
      </c>
      <c r="C31" s="11" t="s">
        <v>443</v>
      </c>
      <c r="D31" s="11">
        <v>2</v>
      </c>
      <c r="E31" s="11">
        <f t="shared" si="0"/>
        <v>425</v>
      </c>
      <c r="F31" s="11">
        <f t="shared" si="1"/>
        <v>0</v>
      </c>
      <c r="G31" s="11">
        <f>B31*(E31-F31)</f>
        <v>-11050000000</v>
      </c>
      <c r="U31" s="25"/>
      <c r="V31" s="25"/>
      <c r="W31" s="25"/>
      <c r="X31" s="25"/>
      <c r="Y31" s="25"/>
      <c r="Z31" s="25"/>
      <c r="AA31" s="25"/>
    </row>
    <row r="32" spans="1:27">
      <c r="A32" s="11" t="s">
        <v>439</v>
      </c>
      <c r="B32" s="38">
        <v>-26200000</v>
      </c>
      <c r="C32" s="11" t="s">
        <v>441</v>
      </c>
      <c r="D32" s="11">
        <v>19</v>
      </c>
      <c r="E32" s="11">
        <f t="shared" si="0"/>
        <v>423</v>
      </c>
      <c r="F32" s="11">
        <f t="shared" si="1"/>
        <v>0</v>
      </c>
      <c r="G32" s="11">
        <f>B32*(E32-F32)</f>
        <v>-11082600000</v>
      </c>
      <c r="U32" s="25"/>
      <c r="V32" s="25"/>
      <c r="W32" s="25"/>
      <c r="X32" s="25"/>
      <c r="Y32" s="25"/>
      <c r="Z32" s="25"/>
      <c r="AA32" s="26"/>
    </row>
    <row r="33" spans="1:27">
      <c r="A33" s="11" t="s">
        <v>471</v>
      </c>
      <c r="B33" s="38">
        <v>327005</v>
      </c>
      <c r="C33" s="11" t="s">
        <v>482</v>
      </c>
      <c r="D33" s="11">
        <v>18</v>
      </c>
      <c r="E33" s="11">
        <f t="shared" si="0"/>
        <v>404</v>
      </c>
      <c r="F33" s="11">
        <f t="shared" si="1"/>
        <v>1</v>
      </c>
      <c r="G33" s="11">
        <f>B33*(E33-F33)</f>
        <v>131783015</v>
      </c>
      <c r="U33" s="25"/>
      <c r="V33" s="25"/>
      <c r="W33" s="25"/>
      <c r="X33" s="25"/>
      <c r="Y33" s="25"/>
      <c r="Z33" s="25"/>
      <c r="AA33" s="25"/>
    </row>
    <row r="34" spans="1:27">
      <c r="A34" s="11" t="s">
        <v>495</v>
      </c>
      <c r="B34" s="38">
        <v>28400000</v>
      </c>
      <c r="C34" s="11" t="s">
        <v>552</v>
      </c>
      <c r="D34" s="11">
        <v>0</v>
      </c>
      <c r="E34" s="11">
        <f t="shared" si="0"/>
        <v>386</v>
      </c>
      <c r="F34" s="11">
        <f t="shared" si="1"/>
        <v>1</v>
      </c>
      <c r="G34" s="11">
        <f t="shared" ref="G34:G126" si="4">B34*(E34-F34)</f>
        <v>10934000000</v>
      </c>
      <c r="V34" s="25"/>
      <c r="W34" s="26"/>
      <c r="X34" s="25"/>
    </row>
    <row r="35" spans="1:27">
      <c r="A35" s="12" t="s">
        <v>495</v>
      </c>
      <c r="B35" s="57">
        <v>11000000</v>
      </c>
      <c r="C35" s="12" t="s">
        <v>497</v>
      </c>
      <c r="D35" s="11">
        <v>15</v>
      </c>
      <c r="E35" s="11">
        <f t="shared" si="0"/>
        <v>386</v>
      </c>
      <c r="F35" s="11">
        <f t="shared" si="1"/>
        <v>1</v>
      </c>
      <c r="G35" s="12">
        <f t="shared" si="4"/>
        <v>4235000000</v>
      </c>
    </row>
    <row r="36" spans="1:27">
      <c r="A36" s="11" t="s">
        <v>509</v>
      </c>
      <c r="B36" s="38">
        <v>418701</v>
      </c>
      <c r="C36" s="11" t="s">
        <v>510</v>
      </c>
      <c r="D36" s="11">
        <v>0</v>
      </c>
      <c r="E36" s="11">
        <f t="shared" si="0"/>
        <v>371</v>
      </c>
      <c r="F36" s="11">
        <f t="shared" si="1"/>
        <v>1</v>
      </c>
      <c r="G36" s="11">
        <f t="shared" si="4"/>
        <v>154919370</v>
      </c>
    </row>
    <row r="37" spans="1:27">
      <c r="A37" s="11" t="s">
        <v>509</v>
      </c>
      <c r="B37" s="38">
        <v>-900</v>
      </c>
      <c r="C37" s="11" t="s">
        <v>511</v>
      </c>
      <c r="D37" s="11">
        <v>1</v>
      </c>
      <c r="E37" s="11">
        <f t="shared" si="0"/>
        <v>371</v>
      </c>
      <c r="F37" s="11">
        <f t="shared" si="1"/>
        <v>0</v>
      </c>
      <c r="G37" s="11">
        <f t="shared" si="4"/>
        <v>-333900</v>
      </c>
      <c r="J37" s="58"/>
    </row>
    <row r="38" spans="1:27">
      <c r="A38" s="12" t="s">
        <v>515</v>
      </c>
      <c r="B38" s="57">
        <v>2000000</v>
      </c>
      <c r="C38" s="12" t="s">
        <v>516</v>
      </c>
      <c r="D38" s="11">
        <v>0</v>
      </c>
      <c r="E38" s="11">
        <f t="shared" si="0"/>
        <v>370</v>
      </c>
      <c r="F38" s="11">
        <f t="shared" si="1"/>
        <v>1</v>
      </c>
      <c r="G38" s="12">
        <f t="shared" si="4"/>
        <v>738000000</v>
      </c>
      <c r="J38" s="7"/>
      <c r="K38" s="7"/>
    </row>
    <row r="39" spans="1:27">
      <c r="A39" s="11" t="s">
        <v>515</v>
      </c>
      <c r="B39" s="38">
        <v>2000000</v>
      </c>
      <c r="C39" s="11" t="s">
        <v>517</v>
      </c>
      <c r="D39" s="11">
        <v>14</v>
      </c>
      <c r="E39" s="11">
        <f t="shared" si="0"/>
        <v>370</v>
      </c>
      <c r="F39" s="11">
        <f>IF(B39&gt;0,1,0)</f>
        <v>1</v>
      </c>
      <c r="G39" s="11">
        <f t="shared" si="4"/>
        <v>738000000</v>
      </c>
    </row>
    <row r="40" spans="1:27">
      <c r="A40" s="11" t="s">
        <v>519</v>
      </c>
      <c r="B40" s="38">
        <v>-200000</v>
      </c>
      <c r="C40" s="11" t="s">
        <v>520</v>
      </c>
      <c r="D40" s="11">
        <v>0</v>
      </c>
      <c r="E40" s="11">
        <f t="shared" si="0"/>
        <v>356</v>
      </c>
      <c r="F40" s="11">
        <f>IF(B40&gt;0,1,0)</f>
        <v>0</v>
      </c>
      <c r="G40" s="11">
        <f t="shared" si="4"/>
        <v>-71200000</v>
      </c>
    </row>
    <row r="41" spans="1:27">
      <c r="A41" s="11" t="s">
        <v>519</v>
      </c>
      <c r="B41" s="38">
        <v>-620000</v>
      </c>
      <c r="C41" s="11" t="s">
        <v>521</v>
      </c>
      <c r="D41" s="11">
        <v>0</v>
      </c>
      <c r="E41" s="11">
        <f t="shared" si="0"/>
        <v>356</v>
      </c>
      <c r="F41" s="11">
        <f>IF(B41&gt;0,1,0)</f>
        <v>0</v>
      </c>
      <c r="G41" s="11">
        <f t="shared" si="4"/>
        <v>-220720000</v>
      </c>
    </row>
    <row r="42" spans="1:27">
      <c r="A42" s="11" t="s">
        <v>519</v>
      </c>
      <c r="B42" s="38">
        <v>-120000</v>
      </c>
      <c r="C42" s="11" t="s">
        <v>522</v>
      </c>
      <c r="D42" s="11">
        <v>2</v>
      </c>
      <c r="E42" s="11">
        <f t="shared" si="0"/>
        <v>356</v>
      </c>
      <c r="F42" s="11">
        <f t="shared" ref="F42:F126" si="5">IF(B42&gt;0,1,0)</f>
        <v>0</v>
      </c>
      <c r="G42" s="11">
        <f t="shared" si="4"/>
        <v>-42720000</v>
      </c>
      <c r="J42" s="7"/>
    </row>
    <row r="43" spans="1:27">
      <c r="A43" s="11" t="s">
        <v>523</v>
      </c>
      <c r="B43" s="38">
        <v>650000</v>
      </c>
      <c r="C43" s="11" t="s">
        <v>524</v>
      </c>
      <c r="D43" s="11">
        <v>0</v>
      </c>
      <c r="E43" s="11">
        <f t="shared" si="0"/>
        <v>354</v>
      </c>
      <c r="F43" s="11">
        <f t="shared" si="5"/>
        <v>1</v>
      </c>
      <c r="G43" s="11">
        <f t="shared" si="4"/>
        <v>229450000</v>
      </c>
    </row>
    <row r="44" spans="1:27">
      <c r="A44" s="11" t="s">
        <v>523</v>
      </c>
      <c r="B44" s="38">
        <v>-5000</v>
      </c>
      <c r="C44" s="11" t="s">
        <v>26</v>
      </c>
      <c r="D44" s="11">
        <v>0</v>
      </c>
      <c r="E44" s="11">
        <f t="shared" si="0"/>
        <v>354</v>
      </c>
      <c r="F44" s="11">
        <f t="shared" si="5"/>
        <v>0</v>
      </c>
      <c r="G44" s="11">
        <f t="shared" si="4"/>
        <v>-1770000</v>
      </c>
    </row>
    <row r="45" spans="1:27">
      <c r="A45" s="11" t="s">
        <v>523</v>
      </c>
      <c r="B45" s="38">
        <v>29000000</v>
      </c>
      <c r="C45" s="11" t="s">
        <v>525</v>
      </c>
      <c r="D45" s="11">
        <v>4</v>
      </c>
      <c r="E45" s="11">
        <f t="shared" si="0"/>
        <v>354</v>
      </c>
      <c r="F45" s="11">
        <f t="shared" si="5"/>
        <v>1</v>
      </c>
      <c r="G45" s="11">
        <f t="shared" si="4"/>
        <v>10237000000</v>
      </c>
    </row>
    <row r="46" spans="1:27">
      <c r="A46" s="11" t="s">
        <v>532</v>
      </c>
      <c r="B46" s="38">
        <v>-200000</v>
      </c>
      <c r="C46" s="11" t="s">
        <v>537</v>
      </c>
      <c r="D46" s="11">
        <v>3</v>
      </c>
      <c r="E46" s="11">
        <f t="shared" si="0"/>
        <v>350</v>
      </c>
      <c r="F46" s="11">
        <f t="shared" si="5"/>
        <v>0</v>
      </c>
      <c r="G46" s="11">
        <f t="shared" si="4"/>
        <v>-70000000</v>
      </c>
    </row>
    <row r="47" spans="1:27">
      <c r="A47" s="11" t="s">
        <v>538</v>
      </c>
      <c r="B47" s="38">
        <v>-200000</v>
      </c>
      <c r="C47" s="11" t="s">
        <v>540</v>
      </c>
      <c r="D47" s="11">
        <v>1</v>
      </c>
      <c r="E47" s="11">
        <f t="shared" si="0"/>
        <v>347</v>
      </c>
      <c r="F47" s="11">
        <f t="shared" si="5"/>
        <v>0</v>
      </c>
      <c r="G47" s="11">
        <f t="shared" si="4"/>
        <v>-69400000</v>
      </c>
    </row>
    <row r="48" spans="1:27">
      <c r="A48" s="11" t="s">
        <v>539</v>
      </c>
      <c r="B48" s="38">
        <v>-200000</v>
      </c>
      <c r="C48" s="11" t="s">
        <v>158</v>
      </c>
      <c r="D48" s="11">
        <v>5</v>
      </c>
      <c r="E48" s="11">
        <f t="shared" si="0"/>
        <v>346</v>
      </c>
      <c r="F48" s="11">
        <f t="shared" si="5"/>
        <v>0</v>
      </c>
      <c r="G48" s="11">
        <f t="shared" si="4"/>
        <v>-69200000</v>
      </c>
    </row>
    <row r="49" spans="1:7">
      <c r="A49" s="11" t="s">
        <v>543</v>
      </c>
      <c r="B49" s="38">
        <v>3000000</v>
      </c>
      <c r="C49" s="11" t="s">
        <v>544</v>
      </c>
      <c r="D49" s="11">
        <v>0</v>
      </c>
      <c r="E49" s="11">
        <f t="shared" si="0"/>
        <v>341</v>
      </c>
      <c r="F49" s="11">
        <f t="shared" si="5"/>
        <v>1</v>
      </c>
      <c r="G49" s="11">
        <f t="shared" si="4"/>
        <v>1020000000</v>
      </c>
    </row>
    <row r="50" spans="1:7">
      <c r="A50" s="12" t="s">
        <v>543</v>
      </c>
      <c r="B50" s="57">
        <v>3000000</v>
      </c>
      <c r="C50" s="12" t="s">
        <v>545</v>
      </c>
      <c r="D50" s="11">
        <v>1</v>
      </c>
      <c r="E50" s="11">
        <f t="shared" si="0"/>
        <v>341</v>
      </c>
      <c r="F50" s="11">
        <f t="shared" si="5"/>
        <v>1</v>
      </c>
      <c r="G50" s="12">
        <f t="shared" si="4"/>
        <v>1020000000</v>
      </c>
    </row>
    <row r="51" spans="1:7">
      <c r="A51" s="11" t="s">
        <v>548</v>
      </c>
      <c r="B51" s="38">
        <v>765797</v>
      </c>
      <c r="C51" s="11" t="s">
        <v>549</v>
      </c>
      <c r="D51" s="11">
        <v>0</v>
      </c>
      <c r="E51" s="11">
        <f t="shared" si="0"/>
        <v>340</v>
      </c>
      <c r="F51" s="11">
        <f t="shared" si="5"/>
        <v>1</v>
      </c>
      <c r="G51" s="11">
        <f t="shared" si="4"/>
        <v>259605183</v>
      </c>
    </row>
    <row r="52" spans="1:7">
      <c r="A52" s="11" t="s">
        <v>548</v>
      </c>
      <c r="B52" s="38">
        <v>-200000</v>
      </c>
      <c r="C52" s="11" t="s">
        <v>158</v>
      </c>
      <c r="D52" s="11">
        <v>7</v>
      </c>
      <c r="E52" s="11">
        <f t="shared" si="0"/>
        <v>340</v>
      </c>
      <c r="F52" s="11">
        <f t="shared" si="5"/>
        <v>0</v>
      </c>
      <c r="G52" s="11">
        <f t="shared" si="4"/>
        <v>-68000000</v>
      </c>
    </row>
    <row r="53" spans="1:7">
      <c r="A53" s="11" t="s">
        <v>560</v>
      </c>
      <c r="B53" s="38">
        <v>-400500</v>
      </c>
      <c r="C53" s="11" t="s">
        <v>561</v>
      </c>
      <c r="D53" s="11">
        <v>9</v>
      </c>
      <c r="E53" s="11">
        <f t="shared" si="0"/>
        <v>333</v>
      </c>
      <c r="F53" s="11">
        <f t="shared" si="5"/>
        <v>0</v>
      </c>
      <c r="G53" s="11">
        <f t="shared" si="4"/>
        <v>-133366500</v>
      </c>
    </row>
    <row r="54" spans="1:7">
      <c r="A54" s="11" t="s">
        <v>575</v>
      </c>
      <c r="B54" s="38">
        <v>-1000396</v>
      </c>
      <c r="C54" s="11" t="s">
        <v>629</v>
      </c>
      <c r="D54" s="11">
        <v>6</v>
      </c>
      <c r="E54" s="11">
        <f t="shared" si="0"/>
        <v>324</v>
      </c>
      <c r="F54" s="11">
        <f t="shared" si="5"/>
        <v>0</v>
      </c>
      <c r="G54" s="11">
        <f t="shared" si="4"/>
        <v>-324128304</v>
      </c>
    </row>
    <row r="55" spans="1:7">
      <c r="A55" s="11" t="s">
        <v>578</v>
      </c>
      <c r="B55" s="38">
        <v>-40000000</v>
      </c>
      <c r="C55" s="11" t="s">
        <v>579</v>
      </c>
      <c r="D55" s="11">
        <v>9</v>
      </c>
      <c r="E55" s="11">
        <f t="shared" si="0"/>
        <v>318</v>
      </c>
      <c r="F55" s="11">
        <f t="shared" si="5"/>
        <v>0</v>
      </c>
      <c r="G55" s="11">
        <f t="shared" si="4"/>
        <v>-12720000000</v>
      </c>
    </row>
    <row r="56" spans="1:7">
      <c r="A56" s="11" t="s">
        <v>584</v>
      </c>
      <c r="B56" s="38">
        <v>865652</v>
      </c>
      <c r="C56" s="11" t="s">
        <v>585</v>
      </c>
      <c r="D56" s="11">
        <v>27</v>
      </c>
      <c r="E56" s="11">
        <f t="shared" si="0"/>
        <v>309</v>
      </c>
      <c r="F56" s="11">
        <f t="shared" si="5"/>
        <v>1</v>
      </c>
      <c r="G56" s="11">
        <f t="shared" si="4"/>
        <v>266620816</v>
      </c>
    </row>
    <row r="57" spans="1:7">
      <c r="A57" s="11" t="s">
        <v>615</v>
      </c>
      <c r="B57" s="38">
        <v>-50200000</v>
      </c>
      <c r="C57" s="11" t="s">
        <v>617</v>
      </c>
      <c r="D57" s="11">
        <v>1</v>
      </c>
      <c r="E57" s="11">
        <f t="shared" si="0"/>
        <v>282</v>
      </c>
      <c r="F57" s="11">
        <f t="shared" si="5"/>
        <v>0</v>
      </c>
      <c r="G57" s="11">
        <f t="shared" si="4"/>
        <v>-14156400000</v>
      </c>
    </row>
    <row r="58" spans="1:7">
      <c r="A58" s="11" t="s">
        <v>621</v>
      </c>
      <c r="B58" s="38">
        <v>-12200500</v>
      </c>
      <c r="C58" s="11" t="s">
        <v>622</v>
      </c>
      <c r="D58" s="11">
        <v>3</v>
      </c>
      <c r="E58" s="11">
        <f t="shared" si="0"/>
        <v>281</v>
      </c>
      <c r="F58" s="11">
        <f t="shared" si="5"/>
        <v>0</v>
      </c>
      <c r="G58" s="11">
        <f t="shared" si="4"/>
        <v>-3428340500</v>
      </c>
    </row>
    <row r="59" spans="1:7">
      <c r="A59" s="11" t="s">
        <v>627</v>
      </c>
      <c r="B59" s="38">
        <v>534906</v>
      </c>
      <c r="C59" s="11" t="s">
        <v>628</v>
      </c>
      <c r="D59" s="11">
        <v>1</v>
      </c>
      <c r="E59" s="11">
        <f t="shared" si="0"/>
        <v>278</v>
      </c>
      <c r="F59" s="11">
        <f t="shared" si="5"/>
        <v>1</v>
      </c>
      <c r="G59" s="11">
        <f t="shared" si="4"/>
        <v>148168962</v>
      </c>
    </row>
    <row r="60" spans="1:7">
      <c r="A60" s="11" t="s">
        <v>636</v>
      </c>
      <c r="B60" s="38">
        <v>-338000</v>
      </c>
      <c r="C60" s="11" t="s">
        <v>638</v>
      </c>
      <c r="D60" s="11">
        <v>2</v>
      </c>
      <c r="E60" s="11">
        <f t="shared" si="0"/>
        <v>277</v>
      </c>
      <c r="F60" s="11">
        <f t="shared" si="5"/>
        <v>0</v>
      </c>
      <c r="G60" s="11">
        <f t="shared" si="4"/>
        <v>-93626000</v>
      </c>
    </row>
    <row r="61" spans="1:7">
      <c r="A61" s="11" t="s">
        <v>639</v>
      </c>
      <c r="B61" s="38">
        <v>-150000</v>
      </c>
      <c r="C61" s="11" t="s">
        <v>640</v>
      </c>
      <c r="D61" s="11">
        <v>4</v>
      </c>
      <c r="E61" s="11">
        <f t="shared" si="0"/>
        <v>275</v>
      </c>
      <c r="F61" s="11">
        <f t="shared" si="5"/>
        <v>0</v>
      </c>
      <c r="G61" s="11">
        <f t="shared" si="4"/>
        <v>-41250000</v>
      </c>
    </row>
    <row r="62" spans="1:7">
      <c r="A62" s="11" t="s">
        <v>645</v>
      </c>
      <c r="B62" s="38">
        <v>-100000</v>
      </c>
      <c r="C62" s="11" t="s">
        <v>26</v>
      </c>
      <c r="D62" s="11">
        <v>4</v>
      </c>
      <c r="E62" s="11">
        <f t="shared" si="0"/>
        <v>271</v>
      </c>
      <c r="F62" s="11">
        <f t="shared" si="5"/>
        <v>0</v>
      </c>
      <c r="G62" s="11">
        <f t="shared" si="4"/>
        <v>-27100000</v>
      </c>
    </row>
    <row r="63" spans="1:7">
      <c r="A63" s="11" t="s">
        <v>647</v>
      </c>
      <c r="B63" s="38">
        <v>-200000</v>
      </c>
      <c r="C63" s="11" t="s">
        <v>158</v>
      </c>
      <c r="D63" s="11">
        <v>0</v>
      </c>
      <c r="E63" s="11">
        <f t="shared" si="0"/>
        <v>267</v>
      </c>
      <c r="F63" s="11">
        <f t="shared" si="5"/>
        <v>0</v>
      </c>
      <c r="G63" s="11">
        <f t="shared" si="4"/>
        <v>-53400000</v>
      </c>
    </row>
    <row r="64" spans="1:7">
      <c r="A64" s="11" t="s">
        <v>71</v>
      </c>
      <c r="B64" s="38">
        <v>-87000</v>
      </c>
      <c r="C64" s="11" t="s">
        <v>648</v>
      </c>
      <c r="D64" s="11">
        <v>4</v>
      </c>
      <c r="E64" s="11">
        <f t="shared" si="0"/>
        <v>267</v>
      </c>
      <c r="F64" s="11">
        <f t="shared" si="5"/>
        <v>0</v>
      </c>
      <c r="G64" s="11">
        <f t="shared" si="4"/>
        <v>-23229000</v>
      </c>
    </row>
    <row r="65" spans="1:10">
      <c r="A65" s="11" t="s">
        <v>654</v>
      </c>
      <c r="B65" s="38">
        <v>-27470</v>
      </c>
      <c r="C65" s="11" t="s">
        <v>655</v>
      </c>
      <c r="D65" s="11">
        <v>1</v>
      </c>
      <c r="E65" s="11">
        <f t="shared" si="0"/>
        <v>263</v>
      </c>
      <c r="F65" s="11">
        <f t="shared" si="5"/>
        <v>0</v>
      </c>
      <c r="G65" s="11">
        <f t="shared" si="4"/>
        <v>-7224610</v>
      </c>
    </row>
    <row r="66" spans="1:10">
      <c r="A66" s="11" t="s">
        <v>658</v>
      </c>
      <c r="B66" s="38">
        <v>-334000</v>
      </c>
      <c r="C66" s="11" t="s">
        <v>659</v>
      </c>
      <c r="D66" s="11">
        <v>5</v>
      </c>
      <c r="E66" s="11">
        <f t="shared" si="0"/>
        <v>262</v>
      </c>
      <c r="F66" s="11">
        <f t="shared" si="5"/>
        <v>0</v>
      </c>
      <c r="G66" s="11">
        <f t="shared" si="4"/>
        <v>-87508000</v>
      </c>
    </row>
    <row r="67" spans="1:10">
      <c r="A67" s="11" t="s">
        <v>662</v>
      </c>
      <c r="B67" s="38">
        <v>-20000</v>
      </c>
      <c r="C67" s="11" t="s">
        <v>663</v>
      </c>
      <c r="D67" s="11">
        <v>1</v>
      </c>
      <c r="E67" s="11">
        <f t="shared" ref="E67:E126" si="6">D67+E68</f>
        <v>257</v>
      </c>
      <c r="F67" s="11">
        <f t="shared" si="5"/>
        <v>0</v>
      </c>
      <c r="G67" s="11">
        <f t="shared" si="4"/>
        <v>-5140000</v>
      </c>
    </row>
    <row r="68" spans="1:10">
      <c r="A68" s="11" t="s">
        <v>661</v>
      </c>
      <c r="B68" s="38">
        <v>-300500</v>
      </c>
      <c r="C68" s="11" t="s">
        <v>664</v>
      </c>
      <c r="D68" s="11">
        <v>0</v>
      </c>
      <c r="E68" s="11">
        <f t="shared" si="6"/>
        <v>256</v>
      </c>
      <c r="F68" s="11">
        <f t="shared" si="5"/>
        <v>0</v>
      </c>
      <c r="G68" s="11">
        <f t="shared" si="4"/>
        <v>-76928000</v>
      </c>
    </row>
    <row r="69" spans="1:10">
      <c r="A69" s="11" t="s">
        <v>661</v>
      </c>
      <c r="B69" s="38">
        <v>-100000</v>
      </c>
      <c r="C69" s="11" t="s">
        <v>665</v>
      </c>
      <c r="D69" s="11">
        <v>5</v>
      </c>
      <c r="E69" s="11">
        <f t="shared" si="6"/>
        <v>256</v>
      </c>
      <c r="F69" s="11">
        <f t="shared" si="5"/>
        <v>0</v>
      </c>
      <c r="G69" s="11">
        <f t="shared" si="4"/>
        <v>-25600000</v>
      </c>
    </row>
    <row r="70" spans="1:10">
      <c r="A70" s="11" t="s">
        <v>668</v>
      </c>
      <c r="B70" s="38">
        <v>-200000</v>
      </c>
      <c r="C70" s="11" t="s">
        <v>26</v>
      </c>
      <c r="D70" s="11">
        <v>4</v>
      </c>
      <c r="E70" s="11">
        <f t="shared" si="6"/>
        <v>251</v>
      </c>
      <c r="F70" s="11">
        <f t="shared" si="5"/>
        <v>0</v>
      </c>
      <c r="G70" s="11">
        <f t="shared" si="4"/>
        <v>-50200000</v>
      </c>
    </row>
    <row r="71" spans="1:10">
      <c r="A71" s="11" t="s">
        <v>630</v>
      </c>
      <c r="B71" s="38">
        <v>15389</v>
      </c>
      <c r="C71" s="11" t="s">
        <v>669</v>
      </c>
      <c r="D71" s="11">
        <v>0</v>
      </c>
      <c r="E71" s="11">
        <f t="shared" si="6"/>
        <v>247</v>
      </c>
      <c r="F71" s="11">
        <f t="shared" si="5"/>
        <v>1</v>
      </c>
      <c r="G71" s="11">
        <f t="shared" si="4"/>
        <v>3785694</v>
      </c>
    </row>
    <row r="72" spans="1:10">
      <c r="A72" s="11" t="s">
        <v>630</v>
      </c>
      <c r="B72" s="38">
        <v>4000000</v>
      </c>
      <c r="C72" s="11" t="s">
        <v>675</v>
      </c>
      <c r="D72" s="11">
        <v>0</v>
      </c>
      <c r="E72" s="11">
        <f t="shared" si="6"/>
        <v>247</v>
      </c>
      <c r="F72" s="11">
        <f t="shared" si="5"/>
        <v>1</v>
      </c>
      <c r="G72" s="11">
        <f t="shared" si="4"/>
        <v>984000000</v>
      </c>
    </row>
    <row r="73" spans="1:10">
      <c r="A73" s="11" t="s">
        <v>630</v>
      </c>
      <c r="B73" s="38">
        <v>2600000</v>
      </c>
      <c r="C73" s="11" t="s">
        <v>676</v>
      </c>
      <c r="D73" s="11">
        <v>0</v>
      </c>
      <c r="E73" s="11">
        <f t="shared" si="6"/>
        <v>247</v>
      </c>
      <c r="F73" s="11">
        <f t="shared" si="5"/>
        <v>1</v>
      </c>
      <c r="G73" s="11">
        <f t="shared" si="4"/>
        <v>639600000</v>
      </c>
      <c r="J73" t="s">
        <v>25</v>
      </c>
    </row>
    <row r="74" spans="1:10">
      <c r="A74" s="11" t="s">
        <v>630</v>
      </c>
      <c r="B74" s="38">
        <v>3000000</v>
      </c>
      <c r="C74" s="11" t="s">
        <v>677</v>
      </c>
      <c r="D74" s="11">
        <v>3</v>
      </c>
      <c r="E74" s="11">
        <f t="shared" si="6"/>
        <v>247</v>
      </c>
      <c r="F74" s="11">
        <f t="shared" si="5"/>
        <v>1</v>
      </c>
      <c r="G74" s="11">
        <f t="shared" si="4"/>
        <v>738000000</v>
      </c>
    </row>
    <row r="75" spans="1:10">
      <c r="A75" s="11" t="s">
        <v>679</v>
      </c>
      <c r="B75" s="38">
        <v>-200000</v>
      </c>
      <c r="C75" s="11" t="s">
        <v>158</v>
      </c>
      <c r="D75" s="11">
        <v>3</v>
      </c>
      <c r="E75" s="11">
        <f t="shared" si="6"/>
        <v>244</v>
      </c>
      <c r="F75" s="11">
        <f t="shared" si="5"/>
        <v>0</v>
      </c>
      <c r="G75" s="11">
        <f t="shared" si="4"/>
        <v>-48800000</v>
      </c>
    </row>
    <row r="76" spans="1:10">
      <c r="A76" s="11" t="s">
        <v>680</v>
      </c>
      <c r="B76" s="38">
        <v>-2000700</v>
      </c>
      <c r="C76" s="11" t="s">
        <v>681</v>
      </c>
      <c r="D76" s="11">
        <v>0</v>
      </c>
      <c r="E76" s="11">
        <f t="shared" si="6"/>
        <v>241</v>
      </c>
      <c r="F76" s="11">
        <f t="shared" si="5"/>
        <v>0</v>
      </c>
      <c r="G76" s="11">
        <f t="shared" si="4"/>
        <v>-482168700</v>
      </c>
    </row>
    <row r="77" spans="1:10">
      <c r="A77" s="11" t="s">
        <v>680</v>
      </c>
      <c r="B77" s="38">
        <v>-200000</v>
      </c>
      <c r="C77" s="11" t="s">
        <v>158</v>
      </c>
      <c r="D77" s="11">
        <v>4</v>
      </c>
      <c r="E77" s="11">
        <f t="shared" si="6"/>
        <v>241</v>
      </c>
      <c r="F77" s="11">
        <f t="shared" si="5"/>
        <v>0</v>
      </c>
      <c r="G77" s="11">
        <f t="shared" si="4"/>
        <v>-48200000</v>
      </c>
    </row>
    <row r="78" spans="1:10">
      <c r="A78" s="11" t="s">
        <v>684</v>
      </c>
      <c r="B78" s="38">
        <v>2000000</v>
      </c>
      <c r="C78" s="11" t="s">
        <v>685</v>
      </c>
      <c r="D78" s="11">
        <v>8</v>
      </c>
      <c r="E78" s="11">
        <f t="shared" si="6"/>
        <v>237</v>
      </c>
      <c r="F78" s="11">
        <f t="shared" si="5"/>
        <v>1</v>
      </c>
      <c r="G78" s="11">
        <f t="shared" si="4"/>
        <v>472000000</v>
      </c>
      <c r="J78" t="s">
        <v>25</v>
      </c>
    </row>
    <row r="79" spans="1:10">
      <c r="A79" s="11" t="s">
        <v>686</v>
      </c>
      <c r="B79" s="38">
        <v>-1000500</v>
      </c>
      <c r="C79" s="11" t="s">
        <v>687</v>
      </c>
      <c r="D79" s="11">
        <v>0</v>
      </c>
      <c r="E79" s="11">
        <f t="shared" si="6"/>
        <v>229</v>
      </c>
      <c r="F79" s="11">
        <f t="shared" si="5"/>
        <v>0</v>
      </c>
      <c r="G79" s="11">
        <f t="shared" si="4"/>
        <v>-229114500</v>
      </c>
    </row>
    <row r="80" spans="1:10">
      <c r="A80" s="11" t="s">
        <v>686</v>
      </c>
      <c r="B80" s="38">
        <v>-141950</v>
      </c>
      <c r="C80" s="11" t="s">
        <v>688</v>
      </c>
      <c r="D80" s="11">
        <v>3</v>
      </c>
      <c r="E80" s="11">
        <f t="shared" si="6"/>
        <v>229</v>
      </c>
      <c r="F80" s="11">
        <f t="shared" si="5"/>
        <v>0</v>
      </c>
      <c r="G80" s="11">
        <f t="shared" si="4"/>
        <v>-32506550</v>
      </c>
    </row>
    <row r="81" spans="1:7">
      <c r="A81" s="11" t="s">
        <v>691</v>
      </c>
      <c r="B81" s="38">
        <v>-900500</v>
      </c>
      <c r="C81" s="11" t="s">
        <v>692</v>
      </c>
      <c r="D81" s="11">
        <v>10</v>
      </c>
      <c r="E81" s="11">
        <f t="shared" si="6"/>
        <v>226</v>
      </c>
      <c r="F81" s="11">
        <f t="shared" si="5"/>
        <v>0</v>
      </c>
      <c r="G81" s="11">
        <f t="shared" si="4"/>
        <v>-203513000</v>
      </c>
    </row>
    <row r="82" spans="1:7">
      <c r="A82" s="11" t="s">
        <v>631</v>
      </c>
      <c r="B82" s="38">
        <v>81251</v>
      </c>
      <c r="C82" s="11" t="s">
        <v>695</v>
      </c>
      <c r="D82" s="11">
        <v>22</v>
      </c>
      <c r="E82" s="11">
        <f t="shared" si="6"/>
        <v>216</v>
      </c>
      <c r="F82" s="11">
        <f t="shared" si="5"/>
        <v>1</v>
      </c>
      <c r="G82" s="11">
        <f t="shared" si="4"/>
        <v>17468965</v>
      </c>
    </row>
    <row r="83" spans="1:7">
      <c r="A83" s="11" t="s">
        <v>723</v>
      </c>
      <c r="B83" s="38">
        <v>50000000</v>
      </c>
      <c r="C83" s="11" t="s">
        <v>726</v>
      </c>
      <c r="D83" s="11">
        <v>1</v>
      </c>
      <c r="E83" s="11">
        <f t="shared" si="6"/>
        <v>194</v>
      </c>
      <c r="F83" s="11">
        <f t="shared" si="5"/>
        <v>1</v>
      </c>
      <c r="G83" s="11">
        <f t="shared" si="4"/>
        <v>9650000000</v>
      </c>
    </row>
    <row r="84" spans="1:7">
      <c r="A84" s="11" t="s">
        <v>721</v>
      </c>
      <c r="B84" s="38">
        <v>30000000</v>
      </c>
      <c r="C84" s="11" t="s">
        <v>727</v>
      </c>
      <c r="D84" s="11">
        <v>0</v>
      </c>
      <c r="E84" s="11">
        <f t="shared" si="6"/>
        <v>193</v>
      </c>
      <c r="F84" s="11">
        <f t="shared" si="5"/>
        <v>1</v>
      </c>
      <c r="G84" s="11">
        <f t="shared" si="4"/>
        <v>5760000000</v>
      </c>
    </row>
    <row r="85" spans="1:7">
      <c r="A85" s="11" t="s">
        <v>721</v>
      </c>
      <c r="B85" s="38">
        <v>-72500000</v>
      </c>
      <c r="C85" s="11" t="s">
        <v>728</v>
      </c>
      <c r="D85" s="11">
        <v>1</v>
      </c>
      <c r="E85" s="11">
        <f t="shared" si="6"/>
        <v>193</v>
      </c>
      <c r="F85" s="11">
        <f t="shared" si="5"/>
        <v>0</v>
      </c>
      <c r="G85" s="11">
        <f t="shared" si="4"/>
        <v>-13992500000</v>
      </c>
    </row>
    <row r="86" spans="1:7">
      <c r="A86" s="11" t="s">
        <v>729</v>
      </c>
      <c r="B86" s="38">
        <v>-281000</v>
      </c>
      <c r="C86" s="11" t="s">
        <v>741</v>
      </c>
      <c r="D86" s="11">
        <v>5</v>
      </c>
      <c r="E86" s="11">
        <f t="shared" si="6"/>
        <v>192</v>
      </c>
      <c r="F86" s="11">
        <f t="shared" si="5"/>
        <v>0</v>
      </c>
      <c r="G86" s="11">
        <f t="shared" si="4"/>
        <v>-53952000</v>
      </c>
    </row>
    <row r="87" spans="1:7">
      <c r="A87" s="11" t="s">
        <v>734</v>
      </c>
      <c r="B87" s="38">
        <v>2500000</v>
      </c>
      <c r="C87" s="11" t="s">
        <v>738</v>
      </c>
      <c r="D87" s="11">
        <v>1</v>
      </c>
      <c r="E87" s="11">
        <f t="shared" si="6"/>
        <v>187</v>
      </c>
      <c r="F87" s="11">
        <f t="shared" si="5"/>
        <v>1</v>
      </c>
      <c r="G87" s="11">
        <f t="shared" si="4"/>
        <v>465000000</v>
      </c>
    </row>
    <row r="88" spans="1:7">
      <c r="A88" s="11" t="s">
        <v>632</v>
      </c>
      <c r="B88" s="38">
        <v>78340</v>
      </c>
      <c r="C88" s="11" t="s">
        <v>739</v>
      </c>
      <c r="D88" s="11">
        <v>5</v>
      </c>
      <c r="E88" s="11">
        <f t="shared" si="6"/>
        <v>186</v>
      </c>
      <c r="F88" s="11">
        <f t="shared" si="5"/>
        <v>1</v>
      </c>
      <c r="G88" s="11">
        <f t="shared" si="4"/>
        <v>14492900</v>
      </c>
    </row>
    <row r="89" spans="1:7">
      <c r="A89" s="11" t="s">
        <v>746</v>
      </c>
      <c r="B89" s="38">
        <v>15000000</v>
      </c>
      <c r="C89" s="11" t="s">
        <v>747</v>
      </c>
      <c r="D89" s="11">
        <v>25</v>
      </c>
      <c r="E89" s="11">
        <f t="shared" si="6"/>
        <v>181</v>
      </c>
      <c r="F89" s="11">
        <f t="shared" si="5"/>
        <v>1</v>
      </c>
      <c r="G89" s="11">
        <f t="shared" si="4"/>
        <v>2700000000</v>
      </c>
    </row>
    <row r="90" spans="1:7">
      <c r="A90" s="11" t="s">
        <v>633</v>
      </c>
      <c r="B90" s="38">
        <v>244846</v>
      </c>
      <c r="C90" s="11" t="s">
        <v>778</v>
      </c>
      <c r="D90" s="11">
        <v>29</v>
      </c>
      <c r="E90" s="11">
        <f t="shared" si="6"/>
        <v>156</v>
      </c>
      <c r="F90" s="11">
        <f t="shared" si="5"/>
        <v>1</v>
      </c>
      <c r="G90" s="11">
        <f t="shared" si="4"/>
        <v>37951130</v>
      </c>
    </row>
    <row r="91" spans="1:7">
      <c r="A91" s="11" t="s">
        <v>815</v>
      </c>
      <c r="B91" s="38">
        <v>272155</v>
      </c>
      <c r="C91" s="11" t="s">
        <v>817</v>
      </c>
      <c r="D91" s="11">
        <v>30</v>
      </c>
      <c r="E91" s="11">
        <f t="shared" si="6"/>
        <v>127</v>
      </c>
      <c r="F91" s="11">
        <f t="shared" si="5"/>
        <v>1</v>
      </c>
      <c r="G91" s="11">
        <f t="shared" si="4"/>
        <v>34291530</v>
      </c>
    </row>
    <row r="92" spans="1:7">
      <c r="A92" s="11" t="s">
        <v>854</v>
      </c>
      <c r="B92" s="38">
        <v>3000000</v>
      </c>
      <c r="C92" s="11" t="s">
        <v>855</v>
      </c>
      <c r="D92" s="11">
        <v>0</v>
      </c>
      <c r="E92" s="11">
        <f t="shared" si="6"/>
        <v>97</v>
      </c>
      <c r="F92" s="11">
        <f t="shared" si="5"/>
        <v>1</v>
      </c>
      <c r="G92" s="11">
        <f t="shared" si="4"/>
        <v>288000000</v>
      </c>
    </row>
    <row r="93" spans="1:7">
      <c r="A93" s="11" t="s">
        <v>854</v>
      </c>
      <c r="B93" s="35">
        <v>274385</v>
      </c>
      <c r="C93" s="11" t="s">
        <v>264</v>
      </c>
      <c r="D93" s="11">
        <v>1</v>
      </c>
      <c r="E93" s="11">
        <f t="shared" si="6"/>
        <v>97</v>
      </c>
      <c r="F93" s="11">
        <f t="shared" si="5"/>
        <v>1</v>
      </c>
      <c r="G93" s="11">
        <f t="shared" si="4"/>
        <v>26340960</v>
      </c>
    </row>
    <row r="94" spans="1:7">
      <c r="A94" s="11" t="s">
        <v>862</v>
      </c>
      <c r="B94" s="38">
        <v>5500000</v>
      </c>
      <c r="C94" s="11" t="s">
        <v>863</v>
      </c>
      <c r="D94" s="11">
        <v>1</v>
      </c>
      <c r="E94" s="11">
        <f t="shared" si="6"/>
        <v>96</v>
      </c>
      <c r="F94" s="11">
        <f t="shared" si="5"/>
        <v>1</v>
      </c>
      <c r="G94" s="11">
        <f t="shared" si="4"/>
        <v>522500000</v>
      </c>
    </row>
    <row r="95" spans="1:7">
      <c r="A95" s="11" t="s">
        <v>864</v>
      </c>
      <c r="B95" s="38">
        <v>3000000</v>
      </c>
      <c r="C95" s="11" t="s">
        <v>865</v>
      </c>
      <c r="D95" s="11">
        <v>1</v>
      </c>
      <c r="E95" s="11">
        <f t="shared" si="6"/>
        <v>95</v>
      </c>
      <c r="F95" s="11">
        <f t="shared" si="5"/>
        <v>1</v>
      </c>
      <c r="G95" s="11">
        <f t="shared" si="4"/>
        <v>282000000</v>
      </c>
    </row>
    <row r="96" spans="1:7">
      <c r="A96" s="11" t="s">
        <v>866</v>
      </c>
      <c r="B96" s="38">
        <v>3000000</v>
      </c>
      <c r="C96" s="11" t="s">
        <v>867</v>
      </c>
      <c r="D96" s="11">
        <v>1</v>
      </c>
      <c r="E96" s="11">
        <f t="shared" si="6"/>
        <v>94</v>
      </c>
      <c r="F96" s="11">
        <f t="shared" si="5"/>
        <v>1</v>
      </c>
      <c r="G96" s="11">
        <f t="shared" si="4"/>
        <v>279000000</v>
      </c>
    </row>
    <row r="97" spans="1:7">
      <c r="A97" s="11" t="s">
        <v>868</v>
      </c>
      <c r="B97" s="38">
        <v>3000000</v>
      </c>
      <c r="C97" s="11" t="s">
        <v>869</v>
      </c>
      <c r="D97" s="11">
        <v>1</v>
      </c>
      <c r="E97" s="11">
        <f t="shared" si="6"/>
        <v>93</v>
      </c>
      <c r="F97" s="11">
        <f t="shared" si="5"/>
        <v>1</v>
      </c>
      <c r="G97" s="11">
        <f t="shared" si="4"/>
        <v>276000000</v>
      </c>
    </row>
    <row r="98" spans="1:7">
      <c r="A98" s="11" t="s">
        <v>870</v>
      </c>
      <c r="B98" s="38">
        <v>3000000</v>
      </c>
      <c r="C98" s="11" t="s">
        <v>871</v>
      </c>
      <c r="D98" s="11">
        <v>1</v>
      </c>
      <c r="E98" s="11">
        <f t="shared" si="6"/>
        <v>92</v>
      </c>
      <c r="F98" s="11">
        <f t="shared" si="5"/>
        <v>1</v>
      </c>
      <c r="G98" s="11">
        <f t="shared" si="4"/>
        <v>273000000</v>
      </c>
    </row>
    <row r="99" spans="1:7">
      <c r="A99" s="11" t="s">
        <v>872</v>
      </c>
      <c r="B99" s="38">
        <v>3000000</v>
      </c>
      <c r="C99" s="11" t="s">
        <v>873</v>
      </c>
      <c r="D99" s="11">
        <v>2</v>
      </c>
      <c r="E99" s="11">
        <f t="shared" si="6"/>
        <v>91</v>
      </c>
      <c r="F99" s="11">
        <f t="shared" si="5"/>
        <v>1</v>
      </c>
      <c r="G99" s="11">
        <f t="shared" si="4"/>
        <v>270000000</v>
      </c>
    </row>
    <row r="100" spans="1:7">
      <c r="A100" s="11" t="s">
        <v>874</v>
      </c>
      <c r="B100" s="38">
        <v>999500</v>
      </c>
      <c r="C100" s="11" t="s">
        <v>888</v>
      </c>
      <c r="D100" s="11">
        <v>1</v>
      </c>
      <c r="E100" s="11">
        <f t="shared" si="6"/>
        <v>89</v>
      </c>
      <c r="F100" s="11">
        <f t="shared" si="5"/>
        <v>1</v>
      </c>
      <c r="G100" s="11">
        <f t="shared" si="4"/>
        <v>87956000</v>
      </c>
    </row>
    <row r="101" spans="1:7" ht="30">
      <c r="A101" s="11" t="s">
        <v>887</v>
      </c>
      <c r="B101" s="38">
        <v>-1986700</v>
      </c>
      <c r="C101" s="73" t="s">
        <v>889</v>
      </c>
      <c r="D101" s="11">
        <v>21</v>
      </c>
      <c r="E101" s="11">
        <f t="shared" si="6"/>
        <v>88</v>
      </c>
      <c r="F101" s="11">
        <f t="shared" si="5"/>
        <v>0</v>
      </c>
      <c r="G101" s="11">
        <f t="shared" si="4"/>
        <v>-174829600</v>
      </c>
    </row>
    <row r="102" spans="1:7" ht="30">
      <c r="A102" s="11" t="s">
        <v>891</v>
      </c>
      <c r="B102" s="38">
        <v>3000000</v>
      </c>
      <c r="C102" s="73" t="s">
        <v>892</v>
      </c>
      <c r="D102" s="11">
        <v>0</v>
      </c>
      <c r="E102" s="11">
        <f t="shared" si="6"/>
        <v>67</v>
      </c>
      <c r="F102" s="11">
        <f t="shared" si="5"/>
        <v>1</v>
      </c>
      <c r="G102" s="11">
        <f t="shared" si="4"/>
        <v>198000000</v>
      </c>
    </row>
    <row r="103" spans="1:7">
      <c r="A103" s="11" t="s">
        <v>1028</v>
      </c>
      <c r="B103" s="38">
        <v>295500</v>
      </c>
      <c r="C103" s="73" t="s">
        <v>1029</v>
      </c>
      <c r="D103" s="11">
        <v>15</v>
      </c>
      <c r="E103" s="11">
        <f t="shared" si="6"/>
        <v>67</v>
      </c>
      <c r="F103" s="11">
        <f t="shared" si="5"/>
        <v>1</v>
      </c>
      <c r="G103" s="11">
        <f t="shared" si="4"/>
        <v>19503000</v>
      </c>
    </row>
    <row r="104" spans="1:7">
      <c r="A104" s="11" t="s">
        <v>916</v>
      </c>
      <c r="B104" s="38">
        <v>-10000</v>
      </c>
      <c r="C104" s="73" t="s">
        <v>922</v>
      </c>
      <c r="D104" s="11">
        <v>6</v>
      </c>
      <c r="E104" s="11">
        <f t="shared" si="6"/>
        <v>52</v>
      </c>
      <c r="F104" s="11">
        <f t="shared" si="5"/>
        <v>0</v>
      </c>
      <c r="G104" s="11">
        <f t="shared" si="4"/>
        <v>-520000</v>
      </c>
    </row>
    <row r="105" spans="1:7">
      <c r="A105" s="11" t="s">
        <v>924</v>
      </c>
      <c r="B105" s="38">
        <v>1999000</v>
      </c>
      <c r="C105" s="73" t="s">
        <v>925</v>
      </c>
      <c r="D105" s="11">
        <v>5</v>
      </c>
      <c r="E105" s="11">
        <f t="shared" si="6"/>
        <v>46</v>
      </c>
      <c r="F105" s="11">
        <f t="shared" si="5"/>
        <v>1</v>
      </c>
      <c r="G105" s="11">
        <f t="shared" si="4"/>
        <v>89955000</v>
      </c>
    </row>
    <row r="106" spans="1:7">
      <c r="A106" s="11" t="s">
        <v>941</v>
      </c>
      <c r="B106" s="38">
        <v>-60000000</v>
      </c>
      <c r="C106" s="73" t="s">
        <v>1025</v>
      </c>
      <c r="D106" s="11">
        <v>0</v>
      </c>
      <c r="E106" s="11">
        <f t="shared" si="6"/>
        <v>41</v>
      </c>
      <c r="F106" s="11">
        <f t="shared" si="5"/>
        <v>0</v>
      </c>
      <c r="G106" s="11">
        <f t="shared" si="4"/>
        <v>-2460000000</v>
      </c>
    </row>
    <row r="107" spans="1:7">
      <c r="A107" s="11" t="s">
        <v>941</v>
      </c>
      <c r="B107" s="38">
        <v>5850000</v>
      </c>
      <c r="C107" s="73" t="s">
        <v>1027</v>
      </c>
      <c r="D107" s="11">
        <v>1</v>
      </c>
      <c r="E107" s="11">
        <f t="shared" si="6"/>
        <v>41</v>
      </c>
      <c r="F107" s="11">
        <f t="shared" si="5"/>
        <v>1</v>
      </c>
      <c r="G107" s="11">
        <f t="shared" si="4"/>
        <v>234000000</v>
      </c>
    </row>
    <row r="108" spans="1:7">
      <c r="A108" s="11" t="s">
        <v>1033</v>
      </c>
      <c r="B108" s="38">
        <v>3000000</v>
      </c>
      <c r="C108" s="73" t="s">
        <v>1043</v>
      </c>
      <c r="D108" s="11">
        <v>1</v>
      </c>
      <c r="E108" s="11">
        <f t="shared" si="6"/>
        <v>40</v>
      </c>
      <c r="F108" s="11">
        <f t="shared" si="5"/>
        <v>1</v>
      </c>
      <c r="G108" s="11">
        <f t="shared" si="4"/>
        <v>117000000</v>
      </c>
    </row>
    <row r="109" spans="1:7">
      <c r="A109" s="11" t="s">
        <v>1044</v>
      </c>
      <c r="B109" s="38">
        <v>2000000</v>
      </c>
      <c r="C109" s="73" t="s">
        <v>1043</v>
      </c>
      <c r="D109" s="11">
        <v>0</v>
      </c>
      <c r="E109" s="11">
        <f t="shared" si="6"/>
        <v>39</v>
      </c>
      <c r="F109" s="11">
        <f t="shared" si="5"/>
        <v>1</v>
      </c>
      <c r="G109" s="11">
        <f t="shared" si="4"/>
        <v>76000000</v>
      </c>
    </row>
    <row r="110" spans="1:7">
      <c r="A110" s="11" t="s">
        <v>1044</v>
      </c>
      <c r="B110" s="38">
        <v>-5000000</v>
      </c>
      <c r="C110" s="73" t="s">
        <v>1025</v>
      </c>
      <c r="D110" s="11">
        <v>1</v>
      </c>
      <c r="E110" s="11">
        <f t="shared" si="6"/>
        <v>39</v>
      </c>
      <c r="F110" s="11">
        <f t="shared" si="5"/>
        <v>0</v>
      </c>
      <c r="G110" s="11">
        <f t="shared" si="4"/>
        <v>-195000000</v>
      </c>
    </row>
    <row r="111" spans="1:7">
      <c r="A111" s="11" t="s">
        <v>1050</v>
      </c>
      <c r="B111" s="38">
        <v>412668</v>
      </c>
      <c r="C111" s="73" t="s">
        <v>1051</v>
      </c>
      <c r="D111" s="11">
        <v>8</v>
      </c>
      <c r="E111" s="11">
        <f t="shared" si="6"/>
        <v>38</v>
      </c>
      <c r="F111" s="11">
        <f t="shared" si="5"/>
        <v>1</v>
      </c>
      <c r="G111" s="11">
        <f t="shared" si="4"/>
        <v>15268716</v>
      </c>
    </row>
    <row r="112" spans="1:7">
      <c r="A112" s="11" t="s">
        <v>1089</v>
      </c>
      <c r="B112" s="38">
        <v>42000000</v>
      </c>
      <c r="C112" s="73" t="s">
        <v>1090</v>
      </c>
      <c r="D112" s="11">
        <v>7</v>
      </c>
      <c r="E112" s="11">
        <f t="shared" si="6"/>
        <v>30</v>
      </c>
      <c r="F112" s="11">
        <f t="shared" si="5"/>
        <v>1</v>
      </c>
      <c r="G112" s="11">
        <f t="shared" si="4"/>
        <v>1218000000</v>
      </c>
    </row>
    <row r="113" spans="1:7">
      <c r="A113" s="11" t="s">
        <v>1108</v>
      </c>
      <c r="B113" s="38">
        <v>-25000000</v>
      </c>
      <c r="C113" s="73" t="s">
        <v>1113</v>
      </c>
      <c r="D113" s="11">
        <v>1</v>
      </c>
      <c r="E113" s="11">
        <f t="shared" si="6"/>
        <v>23</v>
      </c>
      <c r="F113" s="11">
        <f t="shared" si="5"/>
        <v>0</v>
      </c>
      <c r="G113" s="11">
        <f t="shared" si="4"/>
        <v>-575000000</v>
      </c>
    </row>
    <row r="114" spans="1:7">
      <c r="A114" s="11" t="s">
        <v>1110</v>
      </c>
      <c r="B114" s="38">
        <v>-200000</v>
      </c>
      <c r="C114" s="73" t="s">
        <v>1135</v>
      </c>
      <c r="D114" s="11">
        <v>2</v>
      </c>
      <c r="E114" s="11">
        <f t="shared" si="6"/>
        <v>22</v>
      </c>
      <c r="F114" s="11">
        <f t="shared" si="5"/>
        <v>0</v>
      </c>
      <c r="G114" s="11">
        <f t="shared" si="4"/>
        <v>-4400000</v>
      </c>
    </row>
    <row r="115" spans="1:7">
      <c r="A115" s="11" t="s">
        <v>1143</v>
      </c>
      <c r="B115" s="38">
        <v>-18000000</v>
      </c>
      <c r="C115" s="73" t="s">
        <v>1144</v>
      </c>
      <c r="D115" s="11">
        <v>1</v>
      </c>
      <c r="E115" s="11">
        <f t="shared" si="6"/>
        <v>20</v>
      </c>
      <c r="F115" s="11">
        <f t="shared" si="5"/>
        <v>0</v>
      </c>
      <c r="G115" s="11">
        <f t="shared" si="4"/>
        <v>-360000000</v>
      </c>
    </row>
    <row r="116" spans="1:7">
      <c r="A116" s="11" t="s">
        <v>1145</v>
      </c>
      <c r="B116" s="38">
        <v>-2500000</v>
      </c>
      <c r="C116" s="73" t="s">
        <v>1144</v>
      </c>
      <c r="D116" s="11">
        <v>10</v>
      </c>
      <c r="E116" s="11">
        <f t="shared" si="6"/>
        <v>19</v>
      </c>
      <c r="F116" s="11">
        <f t="shared" si="5"/>
        <v>0</v>
      </c>
      <c r="G116" s="11">
        <f t="shared" si="4"/>
        <v>-47500000</v>
      </c>
    </row>
    <row r="117" spans="1:7">
      <c r="A117" s="11" t="s">
        <v>1245</v>
      </c>
      <c r="B117" s="38">
        <v>595000</v>
      </c>
      <c r="C117" s="73" t="s">
        <v>1043</v>
      </c>
      <c r="D117" s="11">
        <v>2</v>
      </c>
      <c r="E117" s="11">
        <f t="shared" si="6"/>
        <v>9</v>
      </c>
      <c r="F117" s="11">
        <f t="shared" si="5"/>
        <v>1</v>
      </c>
      <c r="G117" s="11">
        <f t="shared" si="4"/>
        <v>4760000</v>
      </c>
    </row>
    <row r="118" spans="1:7">
      <c r="A118" s="11" t="s">
        <v>1257</v>
      </c>
      <c r="B118" s="38">
        <v>137334</v>
      </c>
      <c r="C118" s="73" t="s">
        <v>510</v>
      </c>
      <c r="D118" s="11">
        <v>2</v>
      </c>
      <c r="E118" s="11">
        <f t="shared" si="6"/>
        <v>7</v>
      </c>
      <c r="F118" s="11">
        <f t="shared" si="5"/>
        <v>1</v>
      </c>
      <c r="G118" s="11">
        <f t="shared" si="4"/>
        <v>824004</v>
      </c>
    </row>
    <row r="119" spans="1:7">
      <c r="A119" s="11" t="s">
        <v>1260</v>
      </c>
      <c r="B119" s="38">
        <v>-3200900</v>
      </c>
      <c r="C119" s="73" t="s">
        <v>1261</v>
      </c>
      <c r="D119" s="11">
        <v>1</v>
      </c>
      <c r="E119" s="11">
        <f t="shared" si="6"/>
        <v>5</v>
      </c>
      <c r="F119" s="11">
        <f t="shared" si="5"/>
        <v>0</v>
      </c>
      <c r="G119" s="11">
        <f t="shared" si="4"/>
        <v>-16004500</v>
      </c>
    </row>
    <row r="120" spans="1:7">
      <c r="A120" s="11" t="s">
        <v>1269</v>
      </c>
      <c r="B120" s="38">
        <v>16276000</v>
      </c>
      <c r="C120" s="73" t="s">
        <v>1271</v>
      </c>
      <c r="D120" s="11">
        <v>3</v>
      </c>
      <c r="E120" s="11">
        <f t="shared" si="6"/>
        <v>4</v>
      </c>
      <c r="F120" s="11">
        <f t="shared" si="5"/>
        <v>1</v>
      </c>
      <c r="G120" s="11">
        <f t="shared" si="4"/>
        <v>48828000</v>
      </c>
    </row>
    <row r="121" spans="1:7">
      <c r="A121" s="11" t="s">
        <v>1285</v>
      </c>
      <c r="B121" s="38">
        <v>3000000</v>
      </c>
      <c r="C121" s="73" t="s">
        <v>727</v>
      </c>
      <c r="D121" s="11">
        <v>1</v>
      </c>
      <c r="E121" s="11">
        <f t="shared" si="6"/>
        <v>1</v>
      </c>
      <c r="F121" s="11">
        <f t="shared" si="5"/>
        <v>1</v>
      </c>
      <c r="G121" s="11">
        <f t="shared" si="4"/>
        <v>0</v>
      </c>
    </row>
    <row r="122" spans="1:7">
      <c r="A122" s="11"/>
      <c r="B122" s="38"/>
      <c r="C122" s="73"/>
      <c r="D122" s="11">
        <v>0</v>
      </c>
      <c r="E122" s="11">
        <f t="shared" si="6"/>
        <v>0</v>
      </c>
      <c r="F122" s="11">
        <f t="shared" si="5"/>
        <v>0</v>
      </c>
      <c r="G122" s="11">
        <f t="shared" si="4"/>
        <v>0</v>
      </c>
    </row>
    <row r="123" spans="1:7">
      <c r="A123" s="11"/>
      <c r="B123" s="38"/>
      <c r="C123" s="73"/>
      <c r="D123" s="11">
        <v>0</v>
      </c>
      <c r="E123" s="11">
        <f t="shared" si="6"/>
        <v>0</v>
      </c>
      <c r="F123" s="11">
        <f t="shared" si="5"/>
        <v>0</v>
      </c>
      <c r="G123" s="11">
        <f t="shared" si="4"/>
        <v>0</v>
      </c>
    </row>
    <row r="124" spans="1:7">
      <c r="A124" s="11"/>
      <c r="B124" s="38"/>
      <c r="C124" s="11"/>
      <c r="D124" s="11">
        <v>0</v>
      </c>
      <c r="E124" s="11">
        <f t="shared" si="6"/>
        <v>0</v>
      </c>
      <c r="F124" s="11">
        <f t="shared" si="5"/>
        <v>0</v>
      </c>
      <c r="G124" s="11">
        <f t="shared" si="4"/>
        <v>0</v>
      </c>
    </row>
    <row r="125" spans="1:7">
      <c r="A125" s="11"/>
      <c r="B125" s="11"/>
      <c r="C125" s="11"/>
      <c r="D125" s="11">
        <v>0</v>
      </c>
      <c r="E125" s="11">
        <f t="shared" si="6"/>
        <v>0</v>
      </c>
      <c r="F125" s="11">
        <f t="shared" si="5"/>
        <v>0</v>
      </c>
      <c r="G125" s="11">
        <f t="shared" si="4"/>
        <v>0</v>
      </c>
    </row>
    <row r="126" spans="1:7">
      <c r="A126" s="11"/>
      <c r="B126" s="11"/>
      <c r="C126" s="11"/>
      <c r="D126" s="11">
        <v>0</v>
      </c>
      <c r="E126" s="11">
        <f t="shared" si="6"/>
        <v>0</v>
      </c>
      <c r="F126" s="11">
        <f t="shared" si="5"/>
        <v>0</v>
      </c>
      <c r="G126" s="11">
        <f t="shared" si="4"/>
        <v>0</v>
      </c>
    </row>
    <row r="127" spans="1:7">
      <c r="A127" s="11"/>
      <c r="B127" s="29">
        <f>SUM(B2:B126)</f>
        <v>20834895</v>
      </c>
      <c r="C127" s="11"/>
      <c r="D127" s="11"/>
      <c r="E127" s="11"/>
      <c r="F127" s="11"/>
      <c r="G127" s="29">
        <f>SUM(G2:G126)</f>
        <v>21569049120</v>
      </c>
    </row>
    <row r="128" spans="1:7">
      <c r="A128" s="11"/>
      <c r="B128" s="11" t="s">
        <v>283</v>
      </c>
      <c r="C128" s="11"/>
      <c r="D128" s="11"/>
      <c r="E128" s="11"/>
      <c r="F128" s="11"/>
      <c r="G128" s="11" t="s">
        <v>284</v>
      </c>
    </row>
    <row r="129" spans="1:7">
      <c r="A129" s="11"/>
      <c r="B129" s="11"/>
      <c r="C129" s="11"/>
      <c r="D129" s="11"/>
      <c r="E129" s="11"/>
      <c r="F129" s="11"/>
      <c r="G129" s="11"/>
    </row>
    <row r="130" spans="1:7">
      <c r="A130" s="11"/>
      <c r="B130" s="11"/>
      <c r="C130" s="11"/>
      <c r="D130" s="11"/>
      <c r="E130" s="11"/>
      <c r="F130" s="11"/>
      <c r="G130" s="3">
        <f>G127/E2</f>
        <v>42044930.058479533</v>
      </c>
    </row>
    <row r="131" spans="1:7">
      <c r="A131" s="11"/>
      <c r="B131" s="11"/>
      <c r="C131" s="11"/>
      <c r="D131" s="11"/>
      <c r="E131" s="11"/>
      <c r="F131" s="11"/>
      <c r="G131" s="11" t="s">
        <v>286</v>
      </c>
    </row>
    <row r="134" spans="1:7" ht="30">
      <c r="B134" s="72" t="s">
        <v>857</v>
      </c>
    </row>
    <row r="135" spans="1:7">
      <c r="B135" s="7"/>
    </row>
    <row r="137" spans="1:7">
      <c r="B137" s="7"/>
    </row>
    <row r="138" spans="1:7">
      <c r="G138" t="s">
        <v>574</v>
      </c>
    </row>
    <row r="139" spans="1:7">
      <c r="G139" s="38">
        <v>13400000000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82"/>
  <sheetViews>
    <sheetView tabSelected="1" topLeftCell="D1" zoomScaleNormal="100" workbookViewId="0">
      <selection activeCell="M8" sqref="M8"/>
    </sheetView>
  </sheetViews>
  <sheetFormatPr defaultRowHeight="15"/>
  <cols>
    <col min="1" max="1" width="5" bestFit="1" customWidth="1"/>
    <col min="2" max="2" width="3" bestFit="1" customWidth="1"/>
    <col min="3" max="3" width="16.140625" bestFit="1" customWidth="1"/>
    <col min="4" max="4" width="15.140625" bestFit="1" customWidth="1"/>
    <col min="5" max="6" width="16.140625" bestFit="1" customWidth="1"/>
    <col min="7" max="7" width="17.28515625" bestFit="1" customWidth="1"/>
    <col min="8" max="8" width="38.140625" bestFit="1" customWidth="1"/>
    <col min="9" max="9" width="14.140625" bestFit="1" customWidth="1"/>
    <col min="10" max="10" width="38.28515625" bestFit="1" customWidth="1"/>
    <col min="11" max="11" width="27.5703125" bestFit="1" customWidth="1"/>
    <col min="12" max="12" width="19.42578125" bestFit="1" customWidth="1"/>
    <col min="13" max="13" width="28" bestFit="1" customWidth="1"/>
    <col min="14" max="14" width="17.5703125" customWidth="1"/>
    <col min="15" max="15" width="34" bestFit="1" customWidth="1"/>
    <col min="16" max="16" width="28" bestFit="1" customWidth="1"/>
    <col min="17" max="17" width="18.7109375" customWidth="1"/>
    <col min="18" max="18" width="16.140625" bestFit="1" customWidth="1"/>
    <col min="19" max="19" width="10.7109375" bestFit="1" customWidth="1"/>
    <col min="20" max="20" width="15.85546875" bestFit="1" customWidth="1"/>
    <col min="21" max="21" width="16.140625" bestFit="1" customWidth="1"/>
    <col min="22" max="22" width="16.85546875" bestFit="1" customWidth="1"/>
    <col min="23" max="23" width="24" customWidth="1"/>
    <col min="27" max="27" width="17.85546875" bestFit="1" customWidth="1"/>
    <col min="28" max="28" width="43" bestFit="1" customWidth="1"/>
  </cols>
  <sheetData>
    <row r="1" spans="1:24">
      <c r="A1" s="11" t="s">
        <v>448</v>
      </c>
      <c r="B1" s="11" t="s">
        <v>446</v>
      </c>
      <c r="C1" s="11" t="s">
        <v>713</v>
      </c>
      <c r="D1" s="11" t="s">
        <v>447</v>
      </c>
      <c r="E1" s="11" t="s">
        <v>547</v>
      </c>
      <c r="F1" s="11" t="s">
        <v>454</v>
      </c>
      <c r="G1" s="11" t="s">
        <v>455</v>
      </c>
      <c r="H1" s="11" t="s">
        <v>8</v>
      </c>
      <c r="K1" s="11" t="s">
        <v>449</v>
      </c>
      <c r="L1" s="11" t="s">
        <v>450</v>
      </c>
      <c r="M1" s="11" t="s">
        <v>936</v>
      </c>
      <c r="N1" s="11" t="s">
        <v>452</v>
      </c>
      <c r="O1" s="11" t="s">
        <v>752</v>
      </c>
      <c r="P1" s="69" t="s">
        <v>8</v>
      </c>
      <c r="R1" s="121"/>
      <c r="S1" s="122"/>
      <c r="T1" s="122"/>
      <c r="U1" s="121"/>
      <c r="V1" s="128"/>
      <c r="W1" s="128"/>
      <c r="X1" s="121"/>
    </row>
    <row r="2" spans="1:24">
      <c r="A2" s="11"/>
      <c r="B2" s="11">
        <v>0</v>
      </c>
      <c r="C2" s="3">
        <v>0</v>
      </c>
      <c r="D2" s="3">
        <v>0</v>
      </c>
      <c r="E2" s="3">
        <v>52000000</v>
      </c>
      <c r="F2" s="45">
        <v>52000000</v>
      </c>
      <c r="G2" s="29">
        <f t="shared" ref="G2:G16" si="0">E2-F2</f>
        <v>0</v>
      </c>
      <c r="H2" s="11" t="s">
        <v>514</v>
      </c>
      <c r="K2" s="11">
        <v>1.01</v>
      </c>
      <c r="L2" s="11">
        <v>1.02</v>
      </c>
      <c r="M2" s="11" t="s">
        <v>300</v>
      </c>
      <c r="N2" s="29">
        <v>91000000</v>
      </c>
      <c r="O2" s="29">
        <v>154000000</v>
      </c>
      <c r="P2" s="11" t="s">
        <v>940</v>
      </c>
      <c r="R2" s="121"/>
      <c r="S2" s="122"/>
      <c r="T2" s="122"/>
      <c r="U2" s="121"/>
      <c r="V2" s="122"/>
      <c r="W2" s="121"/>
      <c r="X2" s="121"/>
    </row>
    <row r="3" spans="1:24">
      <c r="A3" s="23">
        <v>96</v>
      </c>
      <c r="B3" s="11">
        <v>1</v>
      </c>
      <c r="C3" s="44">
        <v>3000000</v>
      </c>
      <c r="D3" s="3">
        <v>2500000</v>
      </c>
      <c r="E3" s="3">
        <f>E2*$L$2+C3-D3</f>
        <v>53540000</v>
      </c>
      <c r="F3" s="45">
        <v>54000000</v>
      </c>
      <c r="G3" s="29">
        <f t="shared" si="0"/>
        <v>-460000</v>
      </c>
      <c r="H3" s="11" t="s">
        <v>518</v>
      </c>
      <c r="M3" s="11" t="s">
        <v>1157</v>
      </c>
      <c r="N3" s="29">
        <v>46000000</v>
      </c>
      <c r="O3" s="29">
        <v>40000000</v>
      </c>
      <c r="P3" s="11" t="s">
        <v>938</v>
      </c>
      <c r="R3" s="121"/>
      <c r="S3" s="122"/>
      <c r="T3" s="122"/>
      <c r="U3" s="121"/>
      <c r="V3" s="122"/>
      <c r="W3" s="121"/>
      <c r="X3" s="121"/>
    </row>
    <row r="4" spans="1:24">
      <c r="A4" s="23">
        <v>96</v>
      </c>
      <c r="B4" s="11">
        <v>2</v>
      </c>
      <c r="C4" s="44">
        <f t="shared" ref="C4:C35" si="1">C3*$K$2</f>
        <v>3030000</v>
      </c>
      <c r="D4" s="3">
        <f>D3*$K$2</f>
        <v>2525000</v>
      </c>
      <c r="E4" s="3">
        <f t="shared" ref="E4:E34" si="2">E3*$L$2+C4-D4</f>
        <v>55115800</v>
      </c>
      <c r="F4" s="45">
        <v>56000000</v>
      </c>
      <c r="G4" s="29">
        <f t="shared" si="0"/>
        <v>-884200</v>
      </c>
      <c r="H4" s="11" t="s">
        <v>546</v>
      </c>
      <c r="M4" s="11" t="s">
        <v>301</v>
      </c>
      <c r="N4" s="29">
        <v>0</v>
      </c>
      <c r="O4" s="29"/>
      <c r="P4" s="11"/>
      <c r="R4" s="121"/>
      <c r="S4" s="122"/>
      <c r="T4" s="122"/>
      <c r="U4" s="121"/>
      <c r="V4" s="122"/>
      <c r="W4" s="121"/>
      <c r="X4" s="121"/>
    </row>
    <row r="5" spans="1:24">
      <c r="A5" s="23">
        <v>96</v>
      </c>
      <c r="B5" s="11">
        <v>3</v>
      </c>
      <c r="C5" s="44">
        <f t="shared" si="1"/>
        <v>3060300</v>
      </c>
      <c r="D5" s="3">
        <f t="shared" ref="D5:D35" si="3">D4*$K$2</f>
        <v>2550250</v>
      </c>
      <c r="E5" s="3">
        <f t="shared" si="2"/>
        <v>56728166</v>
      </c>
      <c r="F5" s="45">
        <v>58000000</v>
      </c>
      <c r="G5" s="29">
        <f t="shared" si="0"/>
        <v>-1271834</v>
      </c>
      <c r="H5" s="11" t="s">
        <v>590</v>
      </c>
      <c r="M5" s="11" t="s">
        <v>714</v>
      </c>
      <c r="N5" s="29">
        <v>27000000</v>
      </c>
      <c r="O5" s="29">
        <v>41000000</v>
      </c>
      <c r="P5" s="11" t="s">
        <v>714</v>
      </c>
      <c r="R5" s="121"/>
      <c r="S5" s="122"/>
      <c r="T5" s="122"/>
      <c r="U5" s="121"/>
      <c r="V5" s="122"/>
      <c r="W5" s="121"/>
      <c r="X5" s="121"/>
    </row>
    <row r="6" spans="1:24">
      <c r="A6" s="23">
        <v>96</v>
      </c>
      <c r="B6" s="11">
        <v>4</v>
      </c>
      <c r="C6" s="49">
        <f t="shared" si="1"/>
        <v>3090903</v>
      </c>
      <c r="D6" s="3">
        <f t="shared" si="3"/>
        <v>2575752.5</v>
      </c>
      <c r="E6" s="3">
        <f t="shared" si="2"/>
        <v>58377879.82</v>
      </c>
      <c r="F6" s="66">
        <v>60000000</v>
      </c>
      <c r="G6" s="29">
        <f t="shared" si="0"/>
        <v>-1622120.1799999997</v>
      </c>
      <c r="H6" s="11" t="s">
        <v>626</v>
      </c>
      <c r="M6" s="11" t="s">
        <v>303</v>
      </c>
      <c r="N6" s="29">
        <f>-L62*12</f>
        <v>-37600000.000008002</v>
      </c>
      <c r="O6" s="29">
        <v>-25000000</v>
      </c>
      <c r="P6" s="11" t="s">
        <v>939</v>
      </c>
      <c r="R6" s="121"/>
      <c r="S6" s="122"/>
      <c r="T6" s="122"/>
      <c r="U6" s="121"/>
      <c r="V6" s="122"/>
      <c r="W6" s="121"/>
      <c r="X6" s="121"/>
    </row>
    <row r="7" spans="1:24">
      <c r="A7" s="23">
        <v>96</v>
      </c>
      <c r="B7" s="11">
        <v>5</v>
      </c>
      <c r="C7" s="49">
        <f t="shared" si="1"/>
        <v>3121812.03</v>
      </c>
      <c r="D7" s="3">
        <f t="shared" si="3"/>
        <v>2601510.0249999999</v>
      </c>
      <c r="E7" s="3">
        <f t="shared" si="2"/>
        <v>60065739.421400003</v>
      </c>
      <c r="F7" s="66">
        <v>56000000</v>
      </c>
      <c r="G7" s="29">
        <f t="shared" si="0"/>
        <v>4065739.4214000031</v>
      </c>
      <c r="H7" s="11" t="s">
        <v>719</v>
      </c>
      <c r="M7" s="11" t="s">
        <v>715</v>
      </c>
      <c r="N7" s="29">
        <v>57000000</v>
      </c>
      <c r="O7" s="29"/>
      <c r="P7" s="11"/>
      <c r="R7" s="121"/>
      <c r="S7" s="122"/>
      <c r="T7" s="122"/>
      <c r="U7" s="121"/>
      <c r="V7" s="122"/>
      <c r="W7" s="121"/>
      <c r="X7" s="121"/>
    </row>
    <row r="8" spans="1:24">
      <c r="A8" s="23">
        <v>96</v>
      </c>
      <c r="B8" s="11">
        <v>6</v>
      </c>
      <c r="C8" s="49">
        <f t="shared" si="1"/>
        <v>3153030.1502999999</v>
      </c>
      <c r="D8" s="3">
        <f t="shared" si="3"/>
        <v>2627525.12525</v>
      </c>
      <c r="E8" s="3">
        <f t="shared" si="2"/>
        <v>61792559.234878004</v>
      </c>
      <c r="F8" s="66">
        <v>58000000</v>
      </c>
      <c r="G8" s="29">
        <f t="shared" si="0"/>
        <v>3792559.2348780036</v>
      </c>
      <c r="H8" s="11" t="s">
        <v>708</v>
      </c>
      <c r="M8" s="11" t="s">
        <v>937</v>
      </c>
      <c r="N8" s="29">
        <f>L59*12</f>
        <v>10000000.000008</v>
      </c>
      <c r="O8" s="29"/>
      <c r="P8" s="11"/>
      <c r="R8" s="121"/>
      <c r="S8" s="122"/>
      <c r="T8" s="122"/>
      <c r="U8" s="121"/>
      <c r="V8" s="122"/>
      <c r="W8" s="121"/>
      <c r="X8" s="121"/>
    </row>
    <row r="9" spans="1:24">
      <c r="A9" s="23">
        <v>96</v>
      </c>
      <c r="B9" s="11">
        <v>7</v>
      </c>
      <c r="C9" s="50">
        <f t="shared" si="1"/>
        <v>3184560.4518029997</v>
      </c>
      <c r="D9" s="3">
        <f t="shared" si="3"/>
        <v>2653800.3765024999</v>
      </c>
      <c r="E9" s="3">
        <f t="shared" si="2"/>
        <v>63559170.494876064</v>
      </c>
      <c r="F9" s="66">
        <v>63665000</v>
      </c>
      <c r="G9" s="29">
        <f t="shared" si="0"/>
        <v>-105829.50512393564</v>
      </c>
      <c r="H9" s="11" t="s">
        <v>733</v>
      </c>
      <c r="M9" s="11" t="s">
        <v>25</v>
      </c>
      <c r="N9" s="29"/>
      <c r="O9" s="29"/>
      <c r="P9" s="11"/>
      <c r="R9" s="121"/>
      <c r="S9" s="122"/>
      <c r="T9" s="122"/>
      <c r="U9" s="121"/>
      <c r="V9" s="122"/>
      <c r="W9" s="121"/>
      <c r="X9" s="121"/>
    </row>
    <row r="10" spans="1:24">
      <c r="A10" s="23">
        <v>96</v>
      </c>
      <c r="B10" s="11">
        <v>8</v>
      </c>
      <c r="C10" s="50">
        <f t="shared" si="1"/>
        <v>3216406.0563210296</v>
      </c>
      <c r="D10" s="3">
        <f t="shared" si="3"/>
        <v>2680338.3802675251</v>
      </c>
      <c r="E10" s="3">
        <f t="shared" si="2"/>
        <v>65366421.580827095</v>
      </c>
      <c r="F10" s="45">
        <v>66250000</v>
      </c>
      <c r="G10" s="29">
        <f t="shared" si="0"/>
        <v>-883578.41917290539</v>
      </c>
      <c r="H10" s="11" t="s">
        <v>780</v>
      </c>
      <c r="M10" s="11" t="s">
        <v>717</v>
      </c>
      <c r="N10" s="29">
        <f>SUM(N2:N6)</f>
        <v>126399999.999992</v>
      </c>
      <c r="O10" s="29"/>
      <c r="P10" s="11"/>
      <c r="R10" s="121"/>
      <c r="S10" s="122"/>
      <c r="T10" s="122"/>
      <c r="U10" s="121"/>
      <c r="V10" s="122"/>
      <c r="W10" s="121"/>
      <c r="X10" s="121"/>
    </row>
    <row r="11" spans="1:24" ht="21.75" customHeight="1">
      <c r="A11" s="23">
        <v>96</v>
      </c>
      <c r="B11" s="11">
        <v>9</v>
      </c>
      <c r="C11" s="50">
        <f t="shared" si="1"/>
        <v>3248570.1168842399</v>
      </c>
      <c r="D11" s="3">
        <f t="shared" si="3"/>
        <v>2707141.7640702003</v>
      </c>
      <c r="E11" s="3">
        <f t="shared" si="2"/>
        <v>67215178.36525768</v>
      </c>
      <c r="F11" s="45">
        <v>68665000</v>
      </c>
      <c r="G11" s="29">
        <f t="shared" si="0"/>
        <v>-1449821.6347423196</v>
      </c>
      <c r="H11" s="11" t="s">
        <v>819</v>
      </c>
      <c r="M11" s="11" t="s">
        <v>718</v>
      </c>
      <c r="N11" s="29">
        <f>SUM(N2:N9)</f>
        <v>193400000</v>
      </c>
      <c r="O11" s="29">
        <f>SUM(O2:O9)</f>
        <v>210000000</v>
      </c>
      <c r="P11" s="11"/>
      <c r="R11" s="121"/>
      <c r="S11" s="122"/>
      <c r="T11" s="122"/>
      <c r="U11" s="121"/>
      <c r="V11" s="122"/>
      <c r="W11" s="117"/>
      <c r="X11" s="121"/>
    </row>
    <row r="12" spans="1:24">
      <c r="A12" s="23">
        <v>96</v>
      </c>
      <c r="B12" s="11">
        <v>10</v>
      </c>
      <c r="C12" s="3">
        <f t="shared" si="1"/>
        <v>3281055.8180530826</v>
      </c>
      <c r="D12" s="3">
        <f t="shared" si="3"/>
        <v>2734213.1817109021</v>
      </c>
      <c r="E12" s="3">
        <f t="shared" si="2"/>
        <v>69106324.568905011</v>
      </c>
      <c r="F12" s="45">
        <v>71000000</v>
      </c>
      <c r="G12" s="29">
        <f t="shared" si="0"/>
        <v>-1893675.4310949892</v>
      </c>
      <c r="H12" s="11" t="s">
        <v>861</v>
      </c>
      <c r="R12" s="121"/>
      <c r="S12" s="122"/>
      <c r="T12" s="122"/>
      <c r="U12" s="121"/>
      <c r="V12" s="122"/>
      <c r="W12" s="121"/>
      <c r="X12" s="121"/>
    </row>
    <row r="13" spans="1:24">
      <c r="A13" s="23">
        <v>96</v>
      </c>
      <c r="B13" s="11">
        <v>11</v>
      </c>
      <c r="C13" s="3">
        <f t="shared" si="1"/>
        <v>3313866.3762336136</v>
      </c>
      <c r="D13" s="3">
        <f t="shared" si="3"/>
        <v>2761555.3135280111</v>
      </c>
      <c r="E13" s="3">
        <f t="shared" si="2"/>
        <v>71040762.122988701</v>
      </c>
      <c r="F13" s="45">
        <v>73900000</v>
      </c>
      <c r="G13" s="29">
        <f t="shared" si="0"/>
        <v>-2859237.8770112991</v>
      </c>
      <c r="H13" s="11" t="s">
        <v>899</v>
      </c>
      <c r="O13" t="s">
        <v>25</v>
      </c>
      <c r="R13" s="121"/>
      <c r="S13" s="122"/>
      <c r="T13" s="122"/>
      <c r="U13" s="121"/>
      <c r="V13" s="122"/>
      <c r="W13" s="121"/>
      <c r="X13" s="121"/>
    </row>
    <row r="14" spans="1:24">
      <c r="A14" s="23">
        <v>96</v>
      </c>
      <c r="B14" s="11">
        <v>12</v>
      </c>
      <c r="C14" s="3">
        <f t="shared" si="1"/>
        <v>3347005.0399959497</v>
      </c>
      <c r="D14" s="3">
        <f t="shared" si="3"/>
        <v>2789170.8666632911</v>
      </c>
      <c r="E14" s="46">
        <f t="shared" si="2"/>
        <v>73019411.538781136</v>
      </c>
      <c r="F14" s="45">
        <v>91400000</v>
      </c>
      <c r="G14" s="29">
        <f t="shared" si="0"/>
        <v>-18380588.461218864</v>
      </c>
      <c r="H14" s="11" t="s">
        <v>1080</v>
      </c>
      <c r="L14" s="25"/>
      <c r="O14" s="25"/>
      <c r="R14" s="121"/>
      <c r="S14" s="122"/>
      <c r="T14" s="122"/>
      <c r="U14" s="121"/>
      <c r="V14" s="122"/>
      <c r="W14" s="121"/>
      <c r="X14" s="121"/>
    </row>
    <row r="15" spans="1:24">
      <c r="A15" s="60">
        <v>97</v>
      </c>
      <c r="B15" s="11">
        <v>13</v>
      </c>
      <c r="C15" s="44">
        <v>3650000</v>
      </c>
      <c r="D15" s="3">
        <v>2965000</v>
      </c>
      <c r="E15" s="3">
        <v>94553000</v>
      </c>
      <c r="F15" s="3">
        <v>90450000</v>
      </c>
      <c r="G15" s="29">
        <f t="shared" si="0"/>
        <v>4103000</v>
      </c>
      <c r="H15" s="11" t="s">
        <v>1267</v>
      </c>
      <c r="K15" s="2" t="s">
        <v>451</v>
      </c>
      <c r="L15" s="2" t="s">
        <v>452</v>
      </c>
      <c r="M15" s="2"/>
      <c r="N15" s="2" t="s">
        <v>752</v>
      </c>
      <c r="R15" s="121"/>
      <c r="S15" s="122"/>
      <c r="T15" s="122"/>
      <c r="U15" s="121"/>
      <c r="V15" s="122"/>
      <c r="W15" s="121"/>
      <c r="X15" s="121"/>
    </row>
    <row r="16" spans="1:24">
      <c r="A16" s="60">
        <v>97</v>
      </c>
      <c r="B16" s="11">
        <v>14</v>
      </c>
      <c r="C16" s="44">
        <f>C15*$K$2</f>
        <v>3686500</v>
      </c>
      <c r="D16" s="3">
        <f t="shared" si="3"/>
        <v>2994650</v>
      </c>
      <c r="E16" s="3">
        <f>E15*$L$2+C16-D16</f>
        <v>97135910</v>
      </c>
      <c r="F16" s="3">
        <f>L31</f>
        <v>89231026</v>
      </c>
      <c r="G16" s="101">
        <f t="shared" si="0"/>
        <v>7904884</v>
      </c>
      <c r="H16" s="11"/>
      <c r="K16" s="19" t="s">
        <v>299</v>
      </c>
      <c r="L16" s="43">
        <f>'مسکن ایلیا'!B228</f>
        <v>2741544</v>
      </c>
      <c r="M16" s="2" t="s">
        <v>753</v>
      </c>
      <c r="N16" s="3">
        <f>'مسکن مریم یاران'!B127</f>
        <v>20834895</v>
      </c>
      <c r="P16" s="28"/>
      <c r="Q16" s="25"/>
      <c r="R16" s="121"/>
      <c r="S16" s="122"/>
      <c r="T16" s="122"/>
      <c r="U16" s="121"/>
      <c r="V16" s="122"/>
      <c r="W16" s="121"/>
      <c r="X16" s="121"/>
    </row>
    <row r="17" spans="1:24">
      <c r="A17" s="60">
        <v>97</v>
      </c>
      <c r="B17" s="11">
        <v>15</v>
      </c>
      <c r="C17" s="44">
        <f t="shared" si="1"/>
        <v>3723365</v>
      </c>
      <c r="D17" s="3">
        <f t="shared" si="3"/>
        <v>3024596.5</v>
      </c>
      <c r="E17" s="3">
        <f t="shared" si="2"/>
        <v>99777396.700000003</v>
      </c>
      <c r="F17" s="3"/>
      <c r="G17" s="29"/>
      <c r="H17" s="11"/>
      <c r="K17" s="2" t="s">
        <v>453</v>
      </c>
      <c r="L17" s="43">
        <f>'مسکن علی سید الشهدا'!B70</f>
        <v>36482</v>
      </c>
      <c r="M17" s="2" t="s">
        <v>657</v>
      </c>
      <c r="N17" s="3">
        <f>سارا!D177</f>
        <v>90562</v>
      </c>
      <c r="P17" s="28"/>
      <c r="Q17" s="25"/>
      <c r="R17" s="121"/>
      <c r="S17" s="122"/>
      <c r="T17" s="122"/>
      <c r="U17" s="121"/>
      <c r="V17" s="122"/>
      <c r="W17" s="121"/>
      <c r="X17" s="121"/>
    </row>
    <row r="18" spans="1:24">
      <c r="A18" s="60">
        <v>97</v>
      </c>
      <c r="B18" s="11">
        <v>16</v>
      </c>
      <c r="C18" s="49">
        <f t="shared" si="1"/>
        <v>3760598.65</v>
      </c>
      <c r="D18" s="3">
        <f t="shared" si="3"/>
        <v>3054842.4649999999</v>
      </c>
      <c r="E18" s="3">
        <f t="shared" si="2"/>
        <v>102478700.81900001</v>
      </c>
      <c r="F18" s="3"/>
      <c r="G18" s="29"/>
      <c r="H18" s="11"/>
      <c r="K18" s="2" t="s">
        <v>683</v>
      </c>
      <c r="L18" s="43">
        <v>1000000</v>
      </c>
      <c r="M18" s="2" t="s">
        <v>754</v>
      </c>
      <c r="N18" s="3">
        <v>30000000</v>
      </c>
      <c r="R18" s="121"/>
      <c r="S18" s="121"/>
      <c r="T18" s="122"/>
      <c r="U18" s="122"/>
      <c r="V18" s="122"/>
      <c r="W18" s="121"/>
      <c r="X18" s="121"/>
    </row>
    <row r="19" spans="1:24">
      <c r="A19" s="60">
        <v>97</v>
      </c>
      <c r="B19" s="11">
        <v>17</v>
      </c>
      <c r="C19" s="49">
        <f t="shared" si="1"/>
        <v>3798204.6365</v>
      </c>
      <c r="D19" s="3">
        <f t="shared" si="3"/>
        <v>3085390.8896499998</v>
      </c>
      <c r="E19" s="3">
        <f t="shared" si="2"/>
        <v>105241088.58223</v>
      </c>
      <c r="F19" s="3"/>
      <c r="G19" s="29"/>
      <c r="H19" s="11"/>
      <c r="K19" s="2" t="s">
        <v>85</v>
      </c>
      <c r="L19" s="43">
        <v>-15405000</v>
      </c>
      <c r="M19" s="2" t="s">
        <v>758</v>
      </c>
      <c r="N19" s="3">
        <v>4500000</v>
      </c>
      <c r="R19" s="121"/>
      <c r="S19" s="121"/>
      <c r="T19" s="121"/>
      <c r="U19" s="121"/>
      <c r="V19" s="128"/>
      <c r="W19" s="122"/>
      <c r="X19" s="121"/>
    </row>
    <row r="20" spans="1:24">
      <c r="A20" s="60">
        <v>97</v>
      </c>
      <c r="B20" s="11">
        <v>18</v>
      </c>
      <c r="C20" s="49">
        <f t="shared" si="1"/>
        <v>3836186.6828649999</v>
      </c>
      <c r="D20" s="3">
        <f t="shared" si="3"/>
        <v>3116244.7985465</v>
      </c>
      <c r="E20" s="3">
        <f t="shared" si="2"/>
        <v>108065852.23819311</v>
      </c>
      <c r="F20" s="3"/>
      <c r="G20" s="29"/>
      <c r="H20" s="11"/>
      <c r="K20" s="2" t="s">
        <v>456</v>
      </c>
      <c r="L20" s="43">
        <v>123000</v>
      </c>
      <c r="M20" s="2" t="s">
        <v>759</v>
      </c>
      <c r="N20" s="3">
        <v>2000000</v>
      </c>
      <c r="R20" s="121"/>
      <c r="S20" s="121"/>
      <c r="T20" s="121"/>
      <c r="U20" s="121"/>
      <c r="V20" s="122"/>
      <c r="W20" s="121"/>
      <c r="X20" s="121"/>
    </row>
    <row r="21" spans="1:24">
      <c r="A21" s="60">
        <v>97</v>
      </c>
      <c r="B21" s="11">
        <v>19</v>
      </c>
      <c r="C21" s="50">
        <f t="shared" si="1"/>
        <v>3874548.5496936501</v>
      </c>
      <c r="D21" s="3">
        <f t="shared" si="3"/>
        <v>3147407.2465319652</v>
      </c>
      <c r="E21" s="3">
        <f t="shared" si="2"/>
        <v>110954310.58611865</v>
      </c>
      <c r="F21" s="3"/>
      <c r="G21" s="29"/>
      <c r="H21" s="11"/>
      <c r="J21" s="25"/>
      <c r="K21" s="2" t="s">
        <v>732</v>
      </c>
      <c r="L21" s="43">
        <v>0</v>
      </c>
      <c r="M21" s="2" t="s">
        <v>760</v>
      </c>
      <c r="N21" s="3">
        <f>-1*L19</f>
        <v>15405000</v>
      </c>
      <c r="R21" s="121"/>
      <c r="S21" s="122"/>
      <c r="T21" s="121"/>
      <c r="U21" s="121"/>
      <c r="V21" s="121"/>
      <c r="W21" s="121"/>
      <c r="X21" s="121"/>
    </row>
    <row r="22" spans="1:24">
      <c r="A22" s="60">
        <v>97</v>
      </c>
      <c r="B22" s="11">
        <v>20</v>
      </c>
      <c r="C22" s="50">
        <f t="shared" si="1"/>
        <v>3913294.0351905865</v>
      </c>
      <c r="D22" s="3">
        <f t="shared" si="3"/>
        <v>3178881.3189972849</v>
      </c>
      <c r="E22" s="3">
        <f t="shared" si="2"/>
        <v>113907809.51403433</v>
      </c>
      <c r="F22" s="3"/>
      <c r="G22" s="29"/>
      <c r="H22" s="11"/>
      <c r="J22" s="25"/>
      <c r="K22" s="2" t="s">
        <v>923</v>
      </c>
      <c r="L22" s="43">
        <v>4800000</v>
      </c>
      <c r="M22" s="2" t="s">
        <v>755</v>
      </c>
      <c r="N22" s="3">
        <v>400000</v>
      </c>
      <c r="P22" t="s">
        <v>25</v>
      </c>
      <c r="R22" s="121"/>
      <c r="S22" s="121"/>
      <c r="T22" s="121"/>
      <c r="U22" s="121"/>
      <c r="V22" s="121"/>
      <c r="W22" s="121"/>
      <c r="X22" s="121"/>
    </row>
    <row r="23" spans="1:24">
      <c r="A23" s="60">
        <v>97</v>
      </c>
      <c r="B23" s="11">
        <v>21</v>
      </c>
      <c r="C23" s="50">
        <f t="shared" si="1"/>
        <v>3952426.9755424922</v>
      </c>
      <c r="D23" s="3">
        <f t="shared" si="3"/>
        <v>3210670.1321872575</v>
      </c>
      <c r="E23" s="3">
        <f t="shared" si="2"/>
        <v>116927722.54767025</v>
      </c>
      <c r="F23" s="3"/>
      <c r="G23" s="29"/>
      <c r="H23" s="11"/>
      <c r="I23" s="7"/>
      <c r="J23" s="28"/>
      <c r="K23" s="2" t="s">
        <v>934</v>
      </c>
      <c r="L23" s="43">
        <v>0</v>
      </c>
      <c r="M23" s="2" t="s">
        <v>764</v>
      </c>
      <c r="N23" s="3">
        <v>1200000</v>
      </c>
      <c r="O23" t="s">
        <v>25</v>
      </c>
      <c r="R23" s="121"/>
      <c r="S23" s="121"/>
      <c r="T23" s="121"/>
      <c r="U23" s="121"/>
      <c r="V23" s="121"/>
      <c r="W23" s="121"/>
      <c r="X23" s="121"/>
    </row>
    <row r="24" spans="1:24">
      <c r="A24" s="60">
        <v>97</v>
      </c>
      <c r="B24" s="11">
        <v>22</v>
      </c>
      <c r="C24" s="3">
        <f t="shared" si="1"/>
        <v>3991951.2452979172</v>
      </c>
      <c r="D24" s="3">
        <f t="shared" si="3"/>
        <v>3242776.8335091299</v>
      </c>
      <c r="E24" s="3">
        <f t="shared" si="2"/>
        <v>120015451.41041245</v>
      </c>
      <c r="F24" s="3"/>
      <c r="G24" s="11"/>
      <c r="H24" s="11"/>
      <c r="J24" s="55"/>
      <c r="K24" s="2" t="s">
        <v>1117</v>
      </c>
      <c r="L24" s="43">
        <f>سکه!T22</f>
        <v>91000000</v>
      </c>
      <c r="M24" s="2" t="s">
        <v>890</v>
      </c>
      <c r="N24" s="3">
        <v>5500000</v>
      </c>
      <c r="R24" s="121"/>
      <c r="S24" s="121"/>
      <c r="T24" s="121"/>
      <c r="U24" s="121"/>
      <c r="V24" s="121"/>
      <c r="W24" s="121"/>
      <c r="X24" s="121"/>
    </row>
    <row r="25" spans="1:24">
      <c r="A25" s="60">
        <v>97</v>
      </c>
      <c r="B25" s="11">
        <v>23</v>
      </c>
      <c r="C25" s="3">
        <f t="shared" si="1"/>
        <v>4031870.7577508963</v>
      </c>
      <c r="D25" s="3">
        <f t="shared" si="3"/>
        <v>3275204.6018442214</v>
      </c>
      <c r="E25" s="3">
        <f t="shared" si="2"/>
        <v>123172426.59452738</v>
      </c>
      <c r="F25" s="3"/>
      <c r="G25" s="11"/>
      <c r="H25" s="11"/>
      <c r="J25" s="25"/>
      <c r="K25" s="2" t="s">
        <v>1146</v>
      </c>
      <c r="L25" s="43">
        <v>0</v>
      </c>
      <c r="M25" s="2" t="s">
        <v>1117</v>
      </c>
      <c r="N25" s="3">
        <f>سکه!U22</f>
        <v>77000000</v>
      </c>
    </row>
    <row r="26" spans="1:24">
      <c r="A26" s="60">
        <v>97</v>
      </c>
      <c r="B26" s="11">
        <v>24</v>
      </c>
      <c r="C26" s="3">
        <f t="shared" si="1"/>
        <v>4072189.4653284051</v>
      </c>
      <c r="D26" s="3">
        <f t="shared" si="3"/>
        <v>3307956.6478626635</v>
      </c>
      <c r="E26" s="46">
        <f t="shared" si="2"/>
        <v>126400107.94388369</v>
      </c>
      <c r="F26" s="3"/>
      <c r="G26" s="11"/>
      <c r="H26" s="11"/>
      <c r="J26" s="25"/>
      <c r="K26" s="2" t="s">
        <v>1148</v>
      </c>
      <c r="L26" s="43">
        <v>0</v>
      </c>
      <c r="M26" s="2" t="s">
        <v>1147</v>
      </c>
      <c r="N26" s="3">
        <f>-L26</f>
        <v>0</v>
      </c>
      <c r="U26" s="28"/>
      <c r="V26" s="25"/>
      <c r="W26" s="25"/>
    </row>
    <row r="27" spans="1:24">
      <c r="A27" s="61">
        <v>98</v>
      </c>
      <c r="B27" s="11">
        <v>25</v>
      </c>
      <c r="C27" s="44">
        <f t="shared" si="1"/>
        <v>4112911.3599816891</v>
      </c>
      <c r="D27" s="3">
        <f t="shared" si="3"/>
        <v>3341036.2143412903</v>
      </c>
      <c r="E27" s="3">
        <f t="shared" si="2"/>
        <v>129699985.24840176</v>
      </c>
      <c r="F27" s="3"/>
      <c r="G27" s="11"/>
      <c r="H27" s="11"/>
      <c r="J27" s="25"/>
      <c r="K27" s="118" t="s">
        <v>1166</v>
      </c>
      <c r="L27" s="123">
        <v>0</v>
      </c>
      <c r="M27" s="118" t="s">
        <v>1182</v>
      </c>
      <c r="N27" s="119">
        <v>2500000</v>
      </c>
      <c r="U27" s="25"/>
      <c r="V27" s="25"/>
      <c r="W27" s="25"/>
    </row>
    <row r="28" spans="1:24">
      <c r="A28" s="61">
        <v>98</v>
      </c>
      <c r="B28" s="11">
        <v>26</v>
      </c>
      <c r="C28" s="44">
        <f t="shared" si="1"/>
        <v>4154040.4735815059</v>
      </c>
      <c r="D28" s="3">
        <f t="shared" si="3"/>
        <v>3374446.5764847035</v>
      </c>
      <c r="E28" s="3">
        <f t="shared" si="2"/>
        <v>133073578.85046658</v>
      </c>
      <c r="F28" s="3"/>
      <c r="G28" s="11"/>
      <c r="H28" s="11"/>
      <c r="K28" s="118" t="s">
        <v>1264</v>
      </c>
      <c r="L28" s="123">
        <v>4935000</v>
      </c>
      <c r="M28" s="118"/>
      <c r="N28" s="119"/>
      <c r="V28" s="25"/>
      <c r="W28" s="25"/>
    </row>
    <row r="29" spans="1:24">
      <c r="A29" s="61">
        <v>98</v>
      </c>
      <c r="B29" s="11">
        <v>27</v>
      </c>
      <c r="C29" s="44">
        <f t="shared" si="1"/>
        <v>4195580.8783173207</v>
      </c>
      <c r="D29" s="3">
        <f t="shared" si="3"/>
        <v>3408191.0422495506</v>
      </c>
      <c r="E29" s="3">
        <f t="shared" si="2"/>
        <v>136522440.26354367</v>
      </c>
      <c r="F29" s="3"/>
      <c r="G29" s="11"/>
      <c r="H29" s="11"/>
      <c r="K29" s="118" t="s">
        <v>1265</v>
      </c>
      <c r="L29" s="123">
        <v>101700</v>
      </c>
      <c r="M29" s="118"/>
      <c r="N29" s="119"/>
      <c r="V29" s="25"/>
      <c r="W29" s="25"/>
    </row>
    <row r="30" spans="1:24">
      <c r="A30" s="61">
        <v>98</v>
      </c>
      <c r="B30" s="11">
        <v>28</v>
      </c>
      <c r="C30" s="49">
        <f t="shared" si="1"/>
        <v>4237536.6871004943</v>
      </c>
      <c r="D30" s="3">
        <f t="shared" si="3"/>
        <v>3442272.9526720461</v>
      </c>
      <c r="E30" s="3">
        <f t="shared" si="2"/>
        <v>140048152.80324301</v>
      </c>
      <c r="F30" s="3"/>
      <c r="G30" s="11"/>
      <c r="H30" s="11"/>
      <c r="J30" s="25"/>
      <c r="K30" s="118" t="s">
        <v>25</v>
      </c>
      <c r="L30" s="123"/>
      <c r="M30" s="118"/>
      <c r="N30" s="119"/>
      <c r="V30" s="25"/>
    </row>
    <row r="31" spans="1:24">
      <c r="A31" s="61">
        <v>98</v>
      </c>
      <c r="B31" s="11">
        <v>29</v>
      </c>
      <c r="C31" s="49">
        <f t="shared" si="1"/>
        <v>4279912.0539714992</v>
      </c>
      <c r="D31" s="3">
        <f t="shared" si="3"/>
        <v>3476695.6821987666</v>
      </c>
      <c r="E31" s="3">
        <f t="shared" si="2"/>
        <v>143652332.23108062</v>
      </c>
      <c r="F31" s="3"/>
      <c r="G31" s="11"/>
      <c r="H31" s="11"/>
      <c r="J31" s="25"/>
      <c r="K31" s="2" t="s">
        <v>598</v>
      </c>
      <c r="L31" s="3">
        <f>SUM(L16:L28)</f>
        <v>89231026</v>
      </c>
      <c r="M31" s="2"/>
      <c r="N31" s="3">
        <f>SUM(N16:N26)</f>
        <v>156930457</v>
      </c>
      <c r="V31" s="25"/>
    </row>
    <row r="32" spans="1:24">
      <c r="A32" s="61">
        <v>98</v>
      </c>
      <c r="B32" s="11">
        <v>30</v>
      </c>
      <c r="C32" s="49">
        <f t="shared" si="1"/>
        <v>4322711.1745112138</v>
      </c>
      <c r="D32" s="3">
        <f t="shared" si="3"/>
        <v>3511462.6390207545</v>
      </c>
      <c r="E32" s="3">
        <f t="shared" si="2"/>
        <v>147336627.41119272</v>
      </c>
      <c r="F32" s="3"/>
      <c r="G32" s="11"/>
      <c r="H32" s="11"/>
      <c r="J32" s="55"/>
      <c r="K32" s="2" t="s">
        <v>599</v>
      </c>
      <c r="L32" s="3">
        <f>L16+L17+L20+L29</f>
        <v>3002726</v>
      </c>
      <c r="M32" s="2"/>
      <c r="N32" s="3">
        <f>N16+N17+N22</f>
        <v>21325457</v>
      </c>
      <c r="O32" s="25"/>
      <c r="V32" s="25"/>
      <c r="W32" s="25"/>
    </row>
    <row r="33" spans="1:22">
      <c r="A33" s="61">
        <v>98</v>
      </c>
      <c r="B33" s="11">
        <v>31</v>
      </c>
      <c r="C33" s="50">
        <f t="shared" si="1"/>
        <v>4365938.2862563264</v>
      </c>
      <c r="D33" s="3">
        <f t="shared" si="3"/>
        <v>3546577.265410962</v>
      </c>
      <c r="E33" s="3">
        <f t="shared" si="2"/>
        <v>151102720.98026192</v>
      </c>
      <c r="F33" s="3"/>
      <c r="G33" s="11"/>
      <c r="H33" s="11"/>
      <c r="J33" s="25"/>
      <c r="K33" s="56" t="s">
        <v>716</v>
      </c>
      <c r="L33" s="1">
        <f>L31+N7</f>
        <v>146231026</v>
      </c>
      <c r="M33" s="3"/>
      <c r="N33" s="2"/>
    </row>
    <row r="34" spans="1:22">
      <c r="A34" s="61">
        <v>98</v>
      </c>
      <c r="B34" s="11">
        <v>32</v>
      </c>
      <c r="C34" s="50">
        <f t="shared" si="1"/>
        <v>4409597.6691188896</v>
      </c>
      <c r="D34" s="3">
        <f t="shared" si="3"/>
        <v>3582043.0380650717</v>
      </c>
      <c r="E34" s="3">
        <f t="shared" si="2"/>
        <v>154952330.03092098</v>
      </c>
      <c r="F34" s="3"/>
      <c r="G34" s="11"/>
      <c r="H34" s="11"/>
    </row>
    <row r="35" spans="1:22">
      <c r="A35" s="61">
        <v>98</v>
      </c>
      <c r="B35" s="11">
        <v>33</v>
      </c>
      <c r="C35" s="50">
        <f t="shared" si="1"/>
        <v>4453693.6458100788</v>
      </c>
      <c r="D35" s="3">
        <f t="shared" si="3"/>
        <v>3617863.4684457225</v>
      </c>
      <c r="E35" s="3">
        <f t="shared" ref="E35:E62" si="4">E34*$L$2+C35-D35</f>
        <v>158887206.80890375</v>
      </c>
      <c r="F35" s="3"/>
      <c r="G35" s="11"/>
      <c r="H35" s="11"/>
      <c r="M35" s="25"/>
    </row>
    <row r="36" spans="1:22">
      <c r="A36" s="61">
        <v>98</v>
      </c>
      <c r="B36" s="11">
        <v>34</v>
      </c>
      <c r="C36" s="3">
        <f t="shared" ref="C36:C62" si="5">C35*$K$2</f>
        <v>4498230.5822681794</v>
      </c>
      <c r="D36" s="3">
        <f t="shared" ref="D36:D62" si="6">D35*$K$2</f>
        <v>3654042.1031301799</v>
      </c>
      <c r="E36" s="3">
        <f t="shared" si="4"/>
        <v>162909139.42421982</v>
      </c>
      <c r="F36" s="3"/>
      <c r="G36" s="11"/>
      <c r="H36" s="11"/>
      <c r="M36" s="25"/>
      <c r="O36" s="118" t="s">
        <v>1171</v>
      </c>
      <c r="P36" s="118"/>
      <c r="V36" t="s">
        <v>25</v>
      </c>
    </row>
    <row r="37" spans="1:22">
      <c r="A37" s="61">
        <v>98</v>
      </c>
      <c r="B37" s="11">
        <v>35</v>
      </c>
      <c r="C37" s="3">
        <f t="shared" si="5"/>
        <v>4543212.888090861</v>
      </c>
      <c r="D37" s="3">
        <f t="shared" si="6"/>
        <v>3690582.5241614818</v>
      </c>
      <c r="E37" s="3">
        <f t="shared" si="4"/>
        <v>167019952.57663357</v>
      </c>
      <c r="F37" s="3"/>
      <c r="G37" s="11"/>
      <c r="H37" s="11"/>
      <c r="M37" s="26"/>
      <c r="O37" s="118" t="s">
        <v>267</v>
      </c>
      <c r="P37" s="118" t="s">
        <v>1186</v>
      </c>
    </row>
    <row r="38" spans="1:22">
      <c r="A38" s="61">
        <v>98</v>
      </c>
      <c r="B38" s="11">
        <v>36</v>
      </c>
      <c r="C38" s="3">
        <f t="shared" si="5"/>
        <v>4588645.0169717697</v>
      </c>
      <c r="D38" s="3">
        <f t="shared" si="6"/>
        <v>3727488.3494030968</v>
      </c>
      <c r="E38" s="46">
        <f t="shared" si="4"/>
        <v>171221508.29573494</v>
      </c>
      <c r="F38" s="3"/>
      <c r="G38" s="11"/>
      <c r="H38" s="11"/>
      <c r="K38" s="3"/>
      <c r="L38" s="11" t="s">
        <v>304</v>
      </c>
      <c r="M38" s="25"/>
      <c r="N38" s="25"/>
      <c r="O38" s="14">
        <v>2900000</v>
      </c>
      <c r="P38" s="118" t="s">
        <v>1187</v>
      </c>
    </row>
    <row r="39" spans="1:22">
      <c r="A39" s="62">
        <v>99</v>
      </c>
      <c r="B39" s="11">
        <v>37</v>
      </c>
      <c r="C39" s="44">
        <f t="shared" si="5"/>
        <v>4634531.4671414876</v>
      </c>
      <c r="D39" s="3">
        <f t="shared" si="6"/>
        <v>3764763.232897128</v>
      </c>
      <c r="E39" s="3">
        <f t="shared" si="4"/>
        <v>175515706.695894</v>
      </c>
      <c r="F39" s="3"/>
      <c r="G39" s="11"/>
      <c r="H39" s="11"/>
      <c r="K39" s="1" t="s">
        <v>305</v>
      </c>
      <c r="L39" s="1">
        <v>70000</v>
      </c>
      <c r="M39" s="25"/>
      <c r="N39" t="s">
        <v>25</v>
      </c>
      <c r="O39" s="14">
        <v>21000000</v>
      </c>
      <c r="P39" s="118" t="s">
        <v>1188</v>
      </c>
    </row>
    <row r="40" spans="1:22">
      <c r="A40" s="62">
        <v>99</v>
      </c>
      <c r="B40" s="11">
        <v>38</v>
      </c>
      <c r="C40" s="44">
        <f t="shared" si="5"/>
        <v>4680876.7818129025</v>
      </c>
      <c r="D40" s="3">
        <f t="shared" si="6"/>
        <v>3802410.8652260993</v>
      </c>
      <c r="E40" s="3">
        <f t="shared" si="4"/>
        <v>179904486.74639872</v>
      </c>
      <c r="F40" s="3"/>
      <c r="G40" s="11"/>
      <c r="H40" s="11"/>
      <c r="K40" s="1" t="s">
        <v>321</v>
      </c>
      <c r="L40" s="1">
        <v>100000</v>
      </c>
      <c r="M40" t="s">
        <v>25</v>
      </c>
      <c r="O40" s="14">
        <v>7600000</v>
      </c>
      <c r="P40" s="118" t="s">
        <v>1189</v>
      </c>
    </row>
    <row r="41" spans="1:22">
      <c r="A41" s="62">
        <v>99</v>
      </c>
      <c r="B41" s="11">
        <v>39</v>
      </c>
      <c r="C41" s="44">
        <f t="shared" si="5"/>
        <v>4727685.5496310312</v>
      </c>
      <c r="D41" s="3">
        <f t="shared" si="6"/>
        <v>3840434.9738783604</v>
      </c>
      <c r="E41" s="3">
        <f t="shared" si="4"/>
        <v>184389827.05707937</v>
      </c>
      <c r="F41" s="3"/>
      <c r="G41" s="11"/>
      <c r="H41" s="11"/>
      <c r="K41" s="1" t="s">
        <v>306</v>
      </c>
      <c r="L41" s="1">
        <v>80000</v>
      </c>
      <c r="O41" s="14">
        <v>0</v>
      </c>
      <c r="P41" s="56" t="s">
        <v>1190</v>
      </c>
    </row>
    <row r="42" spans="1:22">
      <c r="A42" s="62">
        <v>99</v>
      </c>
      <c r="B42" s="11">
        <v>40</v>
      </c>
      <c r="C42" s="49">
        <f t="shared" si="5"/>
        <v>4774962.4051273419</v>
      </c>
      <c r="D42" s="3">
        <f t="shared" si="6"/>
        <v>3878839.323617144</v>
      </c>
      <c r="E42" s="3">
        <f t="shared" si="4"/>
        <v>188973746.67973119</v>
      </c>
      <c r="F42" s="3"/>
      <c r="G42" s="11"/>
      <c r="H42" s="11"/>
      <c r="K42" s="31" t="s">
        <v>307</v>
      </c>
      <c r="L42" s="1">
        <v>150000</v>
      </c>
      <c r="O42" s="118">
        <v>5000000</v>
      </c>
      <c r="P42" s="118" t="s">
        <v>1275</v>
      </c>
    </row>
    <row r="43" spans="1:22">
      <c r="A43" s="62">
        <v>99</v>
      </c>
      <c r="B43" s="11">
        <v>41</v>
      </c>
      <c r="C43" s="49">
        <f t="shared" si="5"/>
        <v>4822712.0291786157</v>
      </c>
      <c r="D43" s="3">
        <f t="shared" si="6"/>
        <v>3917627.7168533155</v>
      </c>
      <c r="E43" s="3">
        <f t="shared" si="4"/>
        <v>193658305.9256511</v>
      </c>
      <c r="F43" s="3"/>
      <c r="G43" s="11"/>
      <c r="H43" s="11"/>
      <c r="K43" s="31" t="s">
        <v>308</v>
      </c>
      <c r="L43" s="1">
        <v>300000</v>
      </c>
      <c r="O43" s="123">
        <v>6100000</v>
      </c>
      <c r="P43" s="56" t="s">
        <v>890</v>
      </c>
    </row>
    <row r="44" spans="1:22">
      <c r="A44" s="62">
        <v>99</v>
      </c>
      <c r="B44" s="11">
        <v>42</v>
      </c>
      <c r="C44" s="49">
        <f t="shared" si="5"/>
        <v>4870939.1494704019</v>
      </c>
      <c r="D44" s="3">
        <f t="shared" si="6"/>
        <v>3956803.9940218488</v>
      </c>
      <c r="E44" s="3">
        <f t="shared" si="4"/>
        <v>198445607.19961265</v>
      </c>
      <c r="F44" s="3"/>
      <c r="G44" s="11"/>
      <c r="H44" s="11"/>
      <c r="K44" s="31" t="s">
        <v>309</v>
      </c>
      <c r="L44" s="1">
        <v>100000</v>
      </c>
      <c r="O44" s="14">
        <v>4000000</v>
      </c>
      <c r="P44" s="56" t="s">
        <v>1193</v>
      </c>
    </row>
    <row r="45" spans="1:22">
      <c r="A45" s="62">
        <v>99</v>
      </c>
      <c r="B45" s="11">
        <v>43</v>
      </c>
      <c r="C45" s="50">
        <f t="shared" si="5"/>
        <v>4919648.5409651063</v>
      </c>
      <c r="D45" s="3">
        <f t="shared" si="6"/>
        <v>3996372.0339620672</v>
      </c>
      <c r="E45" s="3">
        <f t="shared" si="4"/>
        <v>203337795.85060793</v>
      </c>
      <c r="F45" s="3"/>
      <c r="G45" s="11"/>
      <c r="H45" s="11"/>
      <c r="K45" s="31" t="s">
        <v>310</v>
      </c>
      <c r="L45" s="1">
        <v>200000</v>
      </c>
      <c r="O45" s="123">
        <v>15000000</v>
      </c>
      <c r="P45" s="56" t="s">
        <v>1191</v>
      </c>
    </row>
    <row r="46" spans="1:22">
      <c r="A46" s="62">
        <v>99</v>
      </c>
      <c r="B46" s="11">
        <v>44</v>
      </c>
      <c r="C46" s="50">
        <f t="shared" si="5"/>
        <v>4968845.0263747573</v>
      </c>
      <c r="D46" s="3">
        <f t="shared" si="6"/>
        <v>4036335.7543016877</v>
      </c>
      <c r="E46" s="3">
        <f t="shared" si="4"/>
        <v>208337061.03969315</v>
      </c>
      <c r="F46" s="3"/>
      <c r="G46" s="11"/>
      <c r="H46" s="11"/>
      <c r="K46" s="18" t="s">
        <v>311</v>
      </c>
      <c r="L46" s="18">
        <v>300000</v>
      </c>
      <c r="O46" s="123">
        <v>15000000</v>
      </c>
      <c r="P46" s="56" t="s">
        <v>1192</v>
      </c>
    </row>
    <row r="47" spans="1:22">
      <c r="A47" s="62">
        <v>99</v>
      </c>
      <c r="B47" s="11">
        <v>45</v>
      </c>
      <c r="C47" s="50">
        <f t="shared" si="5"/>
        <v>5018533.4766385052</v>
      </c>
      <c r="D47" s="3">
        <f t="shared" si="6"/>
        <v>4076699.1118447045</v>
      </c>
      <c r="E47" s="3">
        <f t="shared" si="4"/>
        <v>213445636.6252808</v>
      </c>
      <c r="F47" s="3"/>
      <c r="G47" s="11"/>
      <c r="H47" s="11"/>
      <c r="K47" s="32" t="s">
        <v>312</v>
      </c>
      <c r="L47" s="1">
        <v>200000</v>
      </c>
      <c r="O47" s="123">
        <v>3000000</v>
      </c>
      <c r="P47" s="56" t="s">
        <v>1198</v>
      </c>
    </row>
    <row r="48" spans="1:22">
      <c r="A48" s="64">
        <v>99</v>
      </c>
      <c r="B48" s="64">
        <v>46</v>
      </c>
      <c r="C48" s="65">
        <f t="shared" si="5"/>
        <v>5068718.8114048904</v>
      </c>
      <c r="D48" s="65">
        <f t="shared" si="6"/>
        <v>4117466.1029631514</v>
      </c>
      <c r="E48" s="65">
        <f t="shared" si="4"/>
        <v>218665802.06622815</v>
      </c>
      <c r="F48" s="3"/>
      <c r="G48" s="11"/>
      <c r="H48" s="11" t="s">
        <v>611</v>
      </c>
      <c r="K48" s="32" t="s">
        <v>313</v>
      </c>
      <c r="L48" s="1">
        <v>20000</v>
      </c>
      <c r="O48" s="123">
        <v>3000000</v>
      </c>
      <c r="P48" s="56" t="s">
        <v>1201</v>
      </c>
    </row>
    <row r="49" spans="1:16">
      <c r="A49" s="62">
        <v>99</v>
      </c>
      <c r="B49" s="11">
        <v>47</v>
      </c>
      <c r="C49" s="3">
        <f t="shared" si="5"/>
        <v>5119405.9995189393</v>
      </c>
      <c r="D49" s="3">
        <f t="shared" si="6"/>
        <v>4158640.7639927831</v>
      </c>
      <c r="E49" s="3">
        <f t="shared" si="4"/>
        <v>223999883.34307885</v>
      </c>
      <c r="F49" s="3"/>
      <c r="G49" s="11"/>
      <c r="H49" s="11"/>
      <c r="K49" s="32" t="s">
        <v>315</v>
      </c>
      <c r="L49" s="1">
        <v>50000</v>
      </c>
      <c r="O49" s="14">
        <v>2500000</v>
      </c>
      <c r="P49" s="56" t="s">
        <v>1182</v>
      </c>
    </row>
    <row r="50" spans="1:16">
      <c r="A50" s="62">
        <v>99</v>
      </c>
      <c r="B50" s="11">
        <v>48</v>
      </c>
      <c r="C50" s="51">
        <f t="shared" si="5"/>
        <v>5170600.0595141286</v>
      </c>
      <c r="D50" s="51">
        <f t="shared" si="6"/>
        <v>4200227.1716327108</v>
      </c>
      <c r="E50" s="52">
        <f t="shared" si="4"/>
        <v>229450253.89782187</v>
      </c>
      <c r="F50" s="51"/>
      <c r="G50" s="11"/>
      <c r="H50" s="11"/>
      <c r="K50" s="32" t="s">
        <v>316</v>
      </c>
      <c r="L50" s="1">
        <v>90000</v>
      </c>
      <c r="O50" s="123">
        <v>5000000</v>
      </c>
      <c r="P50" s="56" t="s">
        <v>1199</v>
      </c>
    </row>
    <row r="51" spans="1:16">
      <c r="A51" s="63">
        <v>1400</v>
      </c>
      <c r="B51" s="11">
        <v>49</v>
      </c>
      <c r="C51" s="44">
        <f t="shared" si="5"/>
        <v>5222306.0601092698</v>
      </c>
      <c r="D51" s="3">
        <f t="shared" si="6"/>
        <v>4242229.4433490383</v>
      </c>
      <c r="E51" s="3">
        <f t="shared" si="4"/>
        <v>235019335.59253854</v>
      </c>
      <c r="F51" s="3"/>
      <c r="G51" s="11"/>
      <c r="H51" s="11"/>
      <c r="K51" s="32" t="s">
        <v>317</v>
      </c>
      <c r="L51" s="1">
        <v>50000</v>
      </c>
      <c r="O51" s="14">
        <v>3000000</v>
      </c>
      <c r="P51" s="56" t="s">
        <v>1194</v>
      </c>
    </row>
    <row r="52" spans="1:16">
      <c r="A52" s="63">
        <v>1400</v>
      </c>
      <c r="B52" s="11">
        <v>50</v>
      </c>
      <c r="C52" s="44">
        <f t="shared" si="5"/>
        <v>5274529.1207103627</v>
      </c>
      <c r="D52" s="3">
        <f t="shared" si="6"/>
        <v>4284651.7377825286</v>
      </c>
      <c r="E52" s="3">
        <f t="shared" si="4"/>
        <v>240709599.68731713</v>
      </c>
      <c r="F52" s="3"/>
      <c r="G52" s="11"/>
      <c r="H52" s="11"/>
      <c r="K52" s="32" t="s">
        <v>327</v>
      </c>
      <c r="L52" s="1">
        <v>150000</v>
      </c>
      <c r="O52" s="123">
        <v>5000000</v>
      </c>
      <c r="P52" s="56" t="s">
        <v>1196</v>
      </c>
    </row>
    <row r="53" spans="1:16">
      <c r="A53" s="63">
        <v>1400</v>
      </c>
      <c r="B53" s="11">
        <v>51</v>
      </c>
      <c r="C53" s="44">
        <f t="shared" si="5"/>
        <v>5327274.4119174667</v>
      </c>
      <c r="D53" s="3">
        <f t="shared" si="6"/>
        <v>4327498.2551603541</v>
      </c>
      <c r="E53" s="3">
        <f t="shared" si="4"/>
        <v>246523567.83782059</v>
      </c>
      <c r="F53" s="3"/>
      <c r="G53" s="11"/>
      <c r="H53" s="11"/>
      <c r="K53" s="32" t="s">
        <v>318</v>
      </c>
      <c r="L53" s="1">
        <v>15000</v>
      </c>
      <c r="O53" s="123">
        <v>20000000</v>
      </c>
      <c r="P53" s="56" t="s">
        <v>1197</v>
      </c>
    </row>
    <row r="54" spans="1:16">
      <c r="A54" s="63">
        <v>1400</v>
      </c>
      <c r="B54" s="11">
        <v>52</v>
      </c>
      <c r="C54" s="49">
        <f t="shared" si="5"/>
        <v>5380547.1560366414</v>
      </c>
      <c r="D54" s="3">
        <f t="shared" si="6"/>
        <v>4370773.2377119577</v>
      </c>
      <c r="E54" s="3">
        <f t="shared" si="4"/>
        <v>252463813.11290169</v>
      </c>
      <c r="F54" s="3"/>
      <c r="G54" s="11"/>
      <c r="H54" s="11"/>
      <c r="K54" s="32" t="s">
        <v>319</v>
      </c>
      <c r="L54" s="1">
        <v>20000</v>
      </c>
      <c r="O54" s="123">
        <v>10000000</v>
      </c>
      <c r="P54" s="56" t="s">
        <v>1200</v>
      </c>
    </row>
    <row r="55" spans="1:16">
      <c r="A55" s="63">
        <v>1400</v>
      </c>
      <c r="B55" s="11">
        <v>53</v>
      </c>
      <c r="C55" s="49">
        <f t="shared" si="5"/>
        <v>5434352.6275970079</v>
      </c>
      <c r="D55" s="3">
        <f t="shared" si="6"/>
        <v>4414480.970089077</v>
      </c>
      <c r="E55" s="3">
        <f t="shared" si="4"/>
        <v>258532961.03266767</v>
      </c>
      <c r="F55" s="3"/>
      <c r="G55" s="11"/>
      <c r="H55" s="11"/>
      <c r="K55" s="32" t="s">
        <v>320</v>
      </c>
      <c r="L55" s="1">
        <v>40000</v>
      </c>
      <c r="O55" s="123">
        <v>3000000</v>
      </c>
      <c r="P55" s="56" t="s">
        <v>1195</v>
      </c>
    </row>
    <row r="56" spans="1:16">
      <c r="A56" s="63">
        <v>1400</v>
      </c>
      <c r="B56" s="11">
        <v>54</v>
      </c>
      <c r="C56" s="49">
        <f t="shared" si="5"/>
        <v>5488696.1538729779</v>
      </c>
      <c r="D56" s="3">
        <f t="shared" si="6"/>
        <v>4458625.7797899675</v>
      </c>
      <c r="E56" s="3">
        <f t="shared" si="4"/>
        <v>264733690.62740406</v>
      </c>
      <c r="F56" s="3"/>
      <c r="G56" s="11"/>
      <c r="H56" s="11"/>
      <c r="K56" s="32" t="s">
        <v>322</v>
      </c>
      <c r="L56" s="1">
        <v>150000</v>
      </c>
      <c r="O56" s="119">
        <f>SUM(O38:O55)</f>
        <v>131100000</v>
      </c>
      <c r="P56" s="56" t="s">
        <v>1202</v>
      </c>
    </row>
    <row r="57" spans="1:16">
      <c r="A57" s="63">
        <v>1400</v>
      </c>
      <c r="B57" s="11">
        <v>55</v>
      </c>
      <c r="C57" s="50">
        <f t="shared" si="5"/>
        <v>5543583.1154117081</v>
      </c>
      <c r="D57" s="3">
        <f t="shared" si="6"/>
        <v>4503212.0375878671</v>
      </c>
      <c r="E57" s="3">
        <f t="shared" si="4"/>
        <v>271068735.51777595</v>
      </c>
      <c r="F57" s="3"/>
      <c r="G57" s="11"/>
      <c r="H57" s="11"/>
      <c r="K57" s="32" t="s">
        <v>324</v>
      </c>
      <c r="L57" s="1">
        <v>75000</v>
      </c>
      <c r="O57" s="123">
        <f>120*800000</f>
        <v>96000000</v>
      </c>
      <c r="P57" s="56" t="s">
        <v>1203</v>
      </c>
    </row>
    <row r="58" spans="1:16">
      <c r="A58" s="63">
        <v>1400</v>
      </c>
      <c r="B58" s="11">
        <v>56</v>
      </c>
      <c r="C58" s="50">
        <f t="shared" si="5"/>
        <v>5599018.9465658255</v>
      </c>
      <c r="D58" s="3">
        <f t="shared" si="6"/>
        <v>4548244.1579637462</v>
      </c>
      <c r="E58" s="3">
        <f t="shared" si="4"/>
        <v>277540885.01673353</v>
      </c>
      <c r="F58" s="3"/>
      <c r="G58" s="11"/>
      <c r="H58" s="11"/>
      <c r="K58" s="32" t="s">
        <v>314</v>
      </c>
      <c r="L58" s="1">
        <v>140000</v>
      </c>
      <c r="O58" s="123">
        <v>64800000</v>
      </c>
      <c r="P58" s="56" t="s">
        <v>1236</v>
      </c>
    </row>
    <row r="59" spans="1:16">
      <c r="A59" s="63">
        <v>1400</v>
      </c>
      <c r="B59" s="11">
        <v>57</v>
      </c>
      <c r="C59" s="50">
        <f t="shared" si="5"/>
        <v>5655009.1360314842</v>
      </c>
      <c r="D59" s="3">
        <f t="shared" si="6"/>
        <v>4593726.5995433833</v>
      </c>
      <c r="E59" s="3">
        <f t="shared" si="4"/>
        <v>284152985.25355631</v>
      </c>
      <c r="F59" s="3"/>
      <c r="G59" s="11"/>
      <c r="H59" s="11"/>
      <c r="K59" s="2" t="s">
        <v>478</v>
      </c>
      <c r="L59" s="3">
        <v>833333.33333399997</v>
      </c>
    </row>
    <row r="60" spans="1:16">
      <c r="A60" s="63">
        <v>1400</v>
      </c>
      <c r="B60" s="11">
        <v>58</v>
      </c>
      <c r="C60" s="3">
        <f t="shared" si="5"/>
        <v>5711559.227391799</v>
      </c>
      <c r="D60" s="3">
        <f t="shared" si="6"/>
        <v>4639663.8655388169</v>
      </c>
      <c r="E60" s="3">
        <f t="shared" si="4"/>
        <v>290907940.32048041</v>
      </c>
      <c r="F60" s="3"/>
      <c r="G60" s="11"/>
      <c r="H60" s="11"/>
      <c r="K60" s="2"/>
      <c r="L60" s="3"/>
    </row>
    <row r="61" spans="1:16">
      <c r="A61" s="63">
        <v>1400</v>
      </c>
      <c r="B61" s="11">
        <v>59</v>
      </c>
      <c r="C61" s="3">
        <f t="shared" si="5"/>
        <v>5768674.819665717</v>
      </c>
      <c r="D61" s="3">
        <f t="shared" si="6"/>
        <v>4686060.5041942047</v>
      </c>
      <c r="E61" s="3">
        <f t="shared" si="4"/>
        <v>297808713.44236153</v>
      </c>
      <c r="F61" s="3"/>
      <c r="G61" s="11"/>
      <c r="H61" s="11"/>
      <c r="K61" s="2"/>
      <c r="L61" s="3"/>
    </row>
    <row r="62" spans="1:16">
      <c r="A62" s="63">
        <v>1400</v>
      </c>
      <c r="B62" s="11">
        <v>60</v>
      </c>
      <c r="C62" s="3">
        <f t="shared" si="5"/>
        <v>5826361.5678623738</v>
      </c>
      <c r="D62" s="3">
        <f t="shared" si="6"/>
        <v>4732921.1092361463</v>
      </c>
      <c r="E62" s="46">
        <f t="shared" si="4"/>
        <v>304858328.16983503</v>
      </c>
      <c r="F62" s="3"/>
      <c r="G62" s="11"/>
      <c r="H62" s="11"/>
      <c r="K62" s="2" t="s">
        <v>6</v>
      </c>
      <c r="L62" s="3">
        <f>SUM(L39:L60)</f>
        <v>3133333.3333339998</v>
      </c>
    </row>
    <row r="63" spans="1:16">
      <c r="E63" s="26"/>
      <c r="K63" s="2" t="s">
        <v>328</v>
      </c>
      <c r="L63" s="3">
        <f>L62/30</f>
        <v>104444.44444446666</v>
      </c>
    </row>
    <row r="64" spans="1:16">
      <c r="E64" s="26"/>
    </row>
    <row r="66" spans="1:28">
      <c r="O66" t="s">
        <v>1246</v>
      </c>
    </row>
    <row r="67" spans="1:28">
      <c r="A67" t="s">
        <v>25</v>
      </c>
      <c r="O67" t="s">
        <v>1247</v>
      </c>
    </row>
    <row r="69" spans="1:28">
      <c r="K69" s="48" t="s">
        <v>792</v>
      </c>
      <c r="L69" s="48" t="s">
        <v>476</v>
      </c>
      <c r="Q69" s="121"/>
      <c r="R69" s="121"/>
      <c r="S69" s="121"/>
      <c r="T69" s="121"/>
      <c r="X69" t="s">
        <v>1249</v>
      </c>
      <c r="Y69" t="s">
        <v>1250</v>
      </c>
      <c r="Z69" t="s">
        <v>1251</v>
      </c>
      <c r="AA69" t="s">
        <v>282</v>
      </c>
      <c r="AB69" t="s">
        <v>8</v>
      </c>
    </row>
    <row r="70" spans="1:28">
      <c r="K70" s="47">
        <v>1440000</v>
      </c>
      <c r="L70" s="48" t="s">
        <v>1055</v>
      </c>
      <c r="O70" s="121"/>
      <c r="P70" s="121"/>
      <c r="Q70" s="121"/>
      <c r="R70" s="121"/>
      <c r="S70" s="121"/>
      <c r="T70" s="121"/>
      <c r="V70" s="134" t="s">
        <v>748</v>
      </c>
      <c r="W70" s="1">
        <v>15000000</v>
      </c>
      <c r="X70">
        <v>11</v>
      </c>
      <c r="Y70">
        <v>12</v>
      </c>
      <c r="Z70">
        <f>Y70-X70</f>
        <v>1</v>
      </c>
      <c r="AA70" s="1">
        <f>W70*Z70</f>
        <v>15000000</v>
      </c>
    </row>
    <row r="71" spans="1:28">
      <c r="K71" s="47">
        <v>500000</v>
      </c>
      <c r="L71" s="48" t="s">
        <v>479</v>
      </c>
      <c r="O71" s="121"/>
      <c r="P71" s="135"/>
      <c r="Q71" s="121"/>
      <c r="R71" s="135"/>
      <c r="S71" s="121"/>
      <c r="T71" s="121"/>
      <c r="V71" t="s">
        <v>1248</v>
      </c>
      <c r="W71" s="1">
        <v>15000000</v>
      </c>
      <c r="X71">
        <v>56</v>
      </c>
      <c r="Y71">
        <v>81</v>
      </c>
      <c r="Z71" s="102">
        <f>Y71-X71</f>
        <v>25</v>
      </c>
      <c r="AA71" s="1">
        <f t="shared" ref="AA71:AA73" si="7">W71*Z71</f>
        <v>375000000</v>
      </c>
      <c r="AB71" t="s">
        <v>1252</v>
      </c>
    </row>
    <row r="72" spans="1:28">
      <c r="K72" s="47">
        <v>180000</v>
      </c>
      <c r="L72" s="48" t="s">
        <v>558</v>
      </c>
      <c r="O72" s="121"/>
      <c r="P72" s="135"/>
      <c r="Q72" s="121"/>
      <c r="R72" s="121"/>
      <c r="S72" s="121"/>
      <c r="T72" s="121"/>
      <c r="V72" t="s">
        <v>862</v>
      </c>
      <c r="W72" s="1">
        <v>20000000</v>
      </c>
      <c r="X72">
        <v>96</v>
      </c>
      <c r="Y72">
        <v>105</v>
      </c>
      <c r="Z72" s="102">
        <f>Y72-X72</f>
        <v>9</v>
      </c>
      <c r="AA72" s="1">
        <f t="shared" si="7"/>
        <v>180000000</v>
      </c>
    </row>
    <row r="73" spans="1:28">
      <c r="K73" s="47">
        <v>300000</v>
      </c>
      <c r="L73" s="48" t="s">
        <v>788</v>
      </c>
      <c r="O73" s="121"/>
      <c r="P73" s="121"/>
      <c r="V73" t="s">
        <v>902</v>
      </c>
      <c r="W73" s="1">
        <v>15000000</v>
      </c>
      <c r="X73">
        <v>146</v>
      </c>
      <c r="Z73">
        <v>41</v>
      </c>
      <c r="AA73" s="1">
        <f t="shared" si="7"/>
        <v>615000000</v>
      </c>
      <c r="AB73" t="s">
        <v>1254</v>
      </c>
    </row>
    <row r="74" spans="1:28">
      <c r="K74" s="47">
        <v>250000</v>
      </c>
      <c r="L74" s="48" t="s">
        <v>789</v>
      </c>
      <c r="V74" t="s">
        <v>1253</v>
      </c>
      <c r="W74" s="1">
        <v>15000000</v>
      </c>
      <c r="X74">
        <v>238</v>
      </c>
      <c r="AA74" s="1"/>
    </row>
    <row r="75" spans="1:28">
      <c r="K75" s="47">
        <v>500000</v>
      </c>
      <c r="L75" s="48" t="s">
        <v>790</v>
      </c>
      <c r="W75" s="1"/>
      <c r="Y75" t="s">
        <v>25</v>
      </c>
      <c r="AA75" s="1">
        <f>SUM(AA70:AA74)</f>
        <v>1185000000</v>
      </c>
    </row>
    <row r="76" spans="1:28">
      <c r="K76" s="47">
        <v>75000</v>
      </c>
      <c r="L76" s="48" t="s">
        <v>791</v>
      </c>
      <c r="AA76" t="s">
        <v>1255</v>
      </c>
    </row>
    <row r="77" spans="1:28">
      <c r="K77" s="47">
        <v>450000</v>
      </c>
      <c r="L77" s="48" t="s">
        <v>793</v>
      </c>
    </row>
    <row r="78" spans="1:28">
      <c r="K78" s="47">
        <v>500000</v>
      </c>
      <c r="L78" s="48" t="s">
        <v>564</v>
      </c>
      <c r="AA78" t="s">
        <v>1256</v>
      </c>
    </row>
    <row r="79" spans="1:28">
      <c r="K79" s="47">
        <v>50000</v>
      </c>
      <c r="L79" s="48" t="s">
        <v>796</v>
      </c>
      <c r="AA79" s="1">
        <f>AA75*300000/365000000</f>
        <v>973972.60273972608</v>
      </c>
    </row>
    <row r="80" spans="1:28">
      <c r="K80" s="47">
        <v>140000</v>
      </c>
      <c r="L80" s="48" t="s">
        <v>314</v>
      </c>
    </row>
    <row r="81" spans="11:12">
      <c r="K81" s="47"/>
      <c r="L81" s="48" t="s">
        <v>25</v>
      </c>
    </row>
    <row r="82" spans="11:12">
      <c r="K82" s="47">
        <f>SUM(K70:K81)</f>
        <v>4385000</v>
      </c>
      <c r="L82" s="48" t="s">
        <v>6</v>
      </c>
    </row>
  </sheetData>
  <conditionalFormatting sqref="G3:G6">
    <cfRule type="cellIs" dxfId="2" priority="3" operator="greaterThan">
      <formula>0</formula>
    </cfRule>
  </conditionalFormatting>
  <conditionalFormatting sqref="G2:G62">
    <cfRule type="cellIs" dxfId="1" priority="2" operator="greaterThan">
      <formula>0</formula>
    </cfRule>
  </conditionalFormatting>
  <conditionalFormatting sqref="G1:G1048576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D17" sqref="D17"/>
    </sheetView>
  </sheetViews>
  <sheetFormatPr defaultRowHeight="15"/>
  <cols>
    <col min="1" max="1" width="10.7109375" bestFit="1" customWidth="1"/>
    <col min="2" max="2" width="16.85546875" bestFit="1" customWidth="1"/>
    <col min="3" max="3" width="35" bestFit="1" customWidth="1"/>
    <col min="4" max="4" width="12.28515625" customWidth="1"/>
    <col min="5" max="5" width="21.42578125" customWidth="1"/>
    <col min="6" max="6" width="12.85546875" customWidth="1"/>
    <col min="7" max="7" width="17.85546875" bestFit="1" customWidth="1"/>
  </cols>
  <sheetData>
    <row r="1" spans="1:7" ht="35.25" customHeight="1">
      <c r="A1" t="s">
        <v>180</v>
      </c>
      <c r="B1" t="s">
        <v>267</v>
      </c>
      <c r="C1" t="s">
        <v>8</v>
      </c>
      <c r="D1" s="22" t="s">
        <v>280</v>
      </c>
      <c r="E1" s="22" t="s">
        <v>281</v>
      </c>
      <c r="F1" s="22" t="s">
        <v>285</v>
      </c>
      <c r="G1" t="s">
        <v>282</v>
      </c>
    </row>
    <row r="2" spans="1:7">
      <c r="A2" t="s">
        <v>292</v>
      </c>
      <c r="B2" s="3">
        <v>50000</v>
      </c>
      <c r="C2" t="s">
        <v>1</v>
      </c>
      <c r="D2">
        <v>6</v>
      </c>
      <c r="E2">
        <f>E3+D2</f>
        <v>433</v>
      </c>
      <c r="F2">
        <v>1</v>
      </c>
      <c r="G2">
        <f>B2*(E2-F2)</f>
        <v>21600000</v>
      </c>
    </row>
    <row r="3" spans="1:7">
      <c r="A3" t="s">
        <v>330</v>
      </c>
      <c r="B3" s="3">
        <v>15000000</v>
      </c>
      <c r="C3" t="s">
        <v>331</v>
      </c>
      <c r="D3">
        <v>2</v>
      </c>
      <c r="E3">
        <f t="shared" ref="E3:E19" si="0">E4+D3</f>
        <v>427</v>
      </c>
      <c r="F3">
        <v>1</v>
      </c>
      <c r="G3">
        <f t="shared" ref="G3:G21" si="1">B3*(E3-F3)</f>
        <v>6390000000</v>
      </c>
    </row>
    <row r="4" spans="1:7">
      <c r="A4" t="s">
        <v>343</v>
      </c>
      <c r="B4" s="3">
        <v>-3000000</v>
      </c>
      <c r="C4" t="s">
        <v>344</v>
      </c>
      <c r="D4">
        <v>1</v>
      </c>
      <c r="E4">
        <f t="shared" si="0"/>
        <v>425</v>
      </c>
      <c r="F4">
        <v>0</v>
      </c>
      <c r="G4">
        <f t="shared" si="1"/>
        <v>-1275000000</v>
      </c>
    </row>
    <row r="5" spans="1:7">
      <c r="A5" t="s">
        <v>409</v>
      </c>
      <c r="B5" s="3">
        <v>-3200900</v>
      </c>
      <c r="C5" t="s">
        <v>411</v>
      </c>
      <c r="D5">
        <v>2</v>
      </c>
      <c r="E5">
        <f t="shared" si="0"/>
        <v>424</v>
      </c>
      <c r="F5">
        <v>0</v>
      </c>
      <c r="G5">
        <f t="shared" si="1"/>
        <v>-1357181600</v>
      </c>
    </row>
    <row r="6" spans="1:7">
      <c r="A6" t="s">
        <v>421</v>
      </c>
      <c r="B6" s="3">
        <v>-3000900</v>
      </c>
      <c r="C6" t="s">
        <v>422</v>
      </c>
      <c r="D6">
        <v>2</v>
      </c>
      <c r="E6">
        <f t="shared" si="0"/>
        <v>422</v>
      </c>
      <c r="F6">
        <v>0</v>
      </c>
      <c r="G6">
        <f t="shared" si="1"/>
        <v>-1266379800</v>
      </c>
    </row>
    <row r="7" spans="1:7">
      <c r="A7" t="s">
        <v>434</v>
      </c>
      <c r="B7" s="3">
        <v>-5805900</v>
      </c>
      <c r="C7" t="s">
        <v>435</v>
      </c>
      <c r="D7">
        <v>22</v>
      </c>
      <c r="E7">
        <f t="shared" si="0"/>
        <v>420</v>
      </c>
      <c r="F7">
        <v>0</v>
      </c>
      <c r="G7">
        <f t="shared" si="1"/>
        <v>-2438478000</v>
      </c>
    </row>
    <row r="8" spans="1:7">
      <c r="A8" t="s">
        <v>471</v>
      </c>
      <c r="B8" s="3">
        <v>54417</v>
      </c>
      <c r="C8" s="9" t="s">
        <v>475</v>
      </c>
      <c r="D8" s="9">
        <v>272</v>
      </c>
      <c r="E8">
        <f t="shared" si="0"/>
        <v>398</v>
      </c>
      <c r="F8">
        <v>0</v>
      </c>
      <c r="G8">
        <f t="shared" si="1"/>
        <v>21657966</v>
      </c>
    </row>
    <row r="9" spans="1:7">
      <c r="A9" t="s">
        <v>807</v>
      </c>
      <c r="B9" s="3">
        <v>-80000</v>
      </c>
      <c r="C9" t="s">
        <v>814</v>
      </c>
      <c r="D9">
        <v>65</v>
      </c>
      <c r="E9">
        <f t="shared" si="0"/>
        <v>126</v>
      </c>
      <c r="F9">
        <v>1</v>
      </c>
      <c r="G9">
        <f>B9*(E9-F9)</f>
        <v>-10000000</v>
      </c>
    </row>
    <row r="10" spans="1:7">
      <c r="A10" t="s">
        <v>894</v>
      </c>
      <c r="B10" s="3">
        <v>850000</v>
      </c>
      <c r="C10" t="s">
        <v>900</v>
      </c>
      <c r="D10">
        <v>14</v>
      </c>
      <c r="E10">
        <f t="shared" si="0"/>
        <v>61</v>
      </c>
      <c r="F10">
        <v>1</v>
      </c>
      <c r="G10">
        <f t="shared" si="1"/>
        <v>51000000</v>
      </c>
    </row>
    <row r="11" spans="1:7">
      <c r="A11" t="s">
        <v>916</v>
      </c>
      <c r="B11" s="3">
        <v>-700000</v>
      </c>
      <c r="C11" t="s">
        <v>926</v>
      </c>
      <c r="D11">
        <v>6</v>
      </c>
      <c r="E11">
        <f t="shared" si="0"/>
        <v>47</v>
      </c>
      <c r="F11">
        <v>1</v>
      </c>
      <c r="G11">
        <f t="shared" si="1"/>
        <v>-32200000</v>
      </c>
    </row>
    <row r="12" spans="1:7">
      <c r="A12" t="s">
        <v>924</v>
      </c>
      <c r="B12" s="3">
        <v>1000000</v>
      </c>
      <c r="C12" t="s">
        <v>927</v>
      </c>
      <c r="D12">
        <v>8</v>
      </c>
      <c r="E12">
        <f t="shared" si="0"/>
        <v>41</v>
      </c>
      <c r="F12">
        <v>1</v>
      </c>
      <c r="G12">
        <f t="shared" si="1"/>
        <v>40000000</v>
      </c>
    </row>
    <row r="13" spans="1:7">
      <c r="A13" t="s">
        <v>1050</v>
      </c>
      <c r="B13" s="3">
        <v>4857</v>
      </c>
      <c r="C13" t="s">
        <v>475</v>
      </c>
      <c r="D13">
        <v>1</v>
      </c>
      <c r="E13">
        <f t="shared" si="0"/>
        <v>33</v>
      </c>
      <c r="F13">
        <v>1</v>
      </c>
      <c r="G13">
        <f t="shared" si="1"/>
        <v>155424</v>
      </c>
    </row>
    <row r="14" spans="1:7">
      <c r="A14" t="s">
        <v>1056</v>
      </c>
      <c r="B14" s="3">
        <v>-191000</v>
      </c>
      <c r="C14" t="s">
        <v>926</v>
      </c>
      <c r="D14">
        <v>15</v>
      </c>
      <c r="E14">
        <f t="shared" si="0"/>
        <v>32</v>
      </c>
      <c r="F14">
        <v>1</v>
      </c>
      <c r="G14">
        <f t="shared" si="1"/>
        <v>-5921000</v>
      </c>
    </row>
    <row r="15" spans="1:7">
      <c r="A15" t="s">
        <v>1110</v>
      </c>
      <c r="B15" s="3">
        <v>-200000</v>
      </c>
      <c r="C15" t="s">
        <v>814</v>
      </c>
      <c r="D15">
        <v>16</v>
      </c>
      <c r="E15">
        <f t="shared" si="0"/>
        <v>17</v>
      </c>
      <c r="F15">
        <v>1</v>
      </c>
      <c r="G15">
        <f t="shared" si="1"/>
        <v>-3200000</v>
      </c>
    </row>
    <row r="16" spans="1:7">
      <c r="A16" t="s">
        <v>1281</v>
      </c>
      <c r="B16" s="3">
        <v>-700000</v>
      </c>
      <c r="C16" t="s">
        <v>1282</v>
      </c>
      <c r="D16">
        <v>1</v>
      </c>
      <c r="E16">
        <f t="shared" si="0"/>
        <v>1</v>
      </c>
      <c r="F16">
        <v>1</v>
      </c>
      <c r="G16">
        <f t="shared" si="1"/>
        <v>0</v>
      </c>
    </row>
    <row r="17" spans="2:7">
      <c r="B17" s="3"/>
      <c r="D17">
        <v>0</v>
      </c>
      <c r="E17">
        <f t="shared" si="0"/>
        <v>0</v>
      </c>
      <c r="F17">
        <v>1</v>
      </c>
      <c r="G17">
        <f t="shared" si="1"/>
        <v>0</v>
      </c>
    </row>
    <row r="18" spans="2:7">
      <c r="B18" s="3"/>
      <c r="D18">
        <v>0</v>
      </c>
      <c r="E18">
        <f t="shared" si="0"/>
        <v>0</v>
      </c>
      <c r="F18">
        <v>1</v>
      </c>
      <c r="G18">
        <f t="shared" si="1"/>
        <v>0</v>
      </c>
    </row>
    <row r="19" spans="2:7">
      <c r="B19" s="3"/>
      <c r="D19">
        <v>0</v>
      </c>
      <c r="E19">
        <f t="shared" si="0"/>
        <v>0</v>
      </c>
      <c r="F19">
        <v>1</v>
      </c>
      <c r="G19">
        <f t="shared" si="1"/>
        <v>0</v>
      </c>
    </row>
    <row r="20" spans="2:7">
      <c r="B20" s="3"/>
      <c r="D20">
        <v>0</v>
      </c>
      <c r="E20">
        <f>E21+D20</f>
        <v>0</v>
      </c>
      <c r="F20">
        <v>1</v>
      </c>
      <c r="G20">
        <f t="shared" si="1"/>
        <v>0</v>
      </c>
    </row>
    <row r="21" spans="2:7">
      <c r="B21" s="3"/>
      <c r="D21">
        <v>0</v>
      </c>
      <c r="E21">
        <f>D21</f>
        <v>0</v>
      </c>
      <c r="F21">
        <v>1</v>
      </c>
      <c r="G21">
        <f t="shared" si="1"/>
        <v>0</v>
      </c>
    </row>
    <row r="24" spans="2:7">
      <c r="D24" t="s">
        <v>25</v>
      </c>
    </row>
    <row r="27" spans="2:7">
      <c r="B27" s="7">
        <f>SUM(B2:B25)</f>
        <v>80574</v>
      </c>
      <c r="G27" s="7">
        <f>SUM(G2:G21)</f>
        <v>136052990</v>
      </c>
    </row>
    <row r="28" spans="2:7">
      <c r="B28" t="s">
        <v>283</v>
      </c>
      <c r="G28" t="s">
        <v>284</v>
      </c>
    </row>
    <row r="30" spans="2:7">
      <c r="G30" s="3">
        <f>G27/E2</f>
        <v>314210.13856812933</v>
      </c>
    </row>
    <row r="31" spans="2:7">
      <c r="G31" t="s">
        <v>286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topLeftCell="A16" workbookViewId="0">
      <selection activeCell="D45" sqref="D45"/>
    </sheetView>
  </sheetViews>
  <sheetFormatPr defaultRowHeight="15"/>
  <cols>
    <col min="1" max="1" width="10.7109375" bestFit="1" customWidth="1"/>
    <col min="2" max="2" width="16.85546875" bestFit="1" customWidth="1"/>
    <col min="3" max="3" width="16.140625" bestFit="1" customWidth="1"/>
    <col min="4" max="4" width="35.28515625" bestFit="1" customWidth="1"/>
    <col min="6" max="6" width="18.85546875" bestFit="1" customWidth="1"/>
    <col min="7" max="7" width="16.7109375" bestFit="1" customWidth="1"/>
    <col min="8" max="8" width="10.7109375" bestFit="1" customWidth="1"/>
    <col min="9" max="9" width="10.42578125" bestFit="1" customWidth="1"/>
    <col min="10" max="10" width="22.85546875" bestFit="1" customWidth="1"/>
    <col min="14" max="14" width="11.28515625" bestFit="1" customWidth="1"/>
    <col min="15" max="15" width="18.85546875" bestFit="1" customWidth="1"/>
    <col min="16" max="16" width="15.7109375" bestFit="1" customWidth="1"/>
    <col min="17" max="19" width="17.85546875" bestFit="1" customWidth="1"/>
    <col min="20" max="20" width="19.28515625" customWidth="1"/>
    <col min="21" max="22" width="17.85546875" bestFit="1" customWidth="1"/>
    <col min="23" max="23" width="19.85546875" customWidth="1"/>
  </cols>
  <sheetData>
    <row r="1" spans="1:21">
      <c r="A1" t="s">
        <v>180</v>
      </c>
      <c r="B1" t="s">
        <v>181</v>
      </c>
      <c r="C1" s="18" t="s">
        <v>182</v>
      </c>
      <c r="D1" s="18" t="s">
        <v>8</v>
      </c>
      <c r="E1" t="s">
        <v>183</v>
      </c>
    </row>
    <row r="2" spans="1:21">
      <c r="A2" t="s">
        <v>179</v>
      </c>
      <c r="B2" s="18">
        <v>64500000</v>
      </c>
      <c r="C2" s="18">
        <f>B2</f>
        <v>64500000</v>
      </c>
      <c r="D2" s="18" t="s">
        <v>185</v>
      </c>
      <c r="E2">
        <v>45</v>
      </c>
      <c r="F2" s="18">
        <f>C2*E2</f>
        <v>2902500000</v>
      </c>
    </row>
    <row r="3" spans="1:21">
      <c r="A3" t="s">
        <v>143</v>
      </c>
      <c r="B3" s="18">
        <v>-16000000</v>
      </c>
      <c r="C3" s="18">
        <f>C2+B3</f>
        <v>48500000</v>
      </c>
      <c r="D3" s="18" t="s">
        <v>186</v>
      </c>
      <c r="E3">
        <v>25</v>
      </c>
      <c r="F3" s="18">
        <f t="shared" ref="F3" si="0">C3*E3</f>
        <v>1212500000</v>
      </c>
    </row>
    <row r="4" spans="1:21">
      <c r="A4" t="s">
        <v>184</v>
      </c>
      <c r="B4" s="18">
        <v>-30000000</v>
      </c>
      <c r="C4" s="18">
        <f t="shared" ref="C4:C19" si="1">C3+B4</f>
        <v>18500000</v>
      </c>
      <c r="D4" s="18" t="s">
        <v>187</v>
      </c>
      <c r="E4">
        <v>1</v>
      </c>
      <c r="F4" s="18">
        <f>C4*E4</f>
        <v>18500000</v>
      </c>
    </row>
    <row r="5" spans="1:21">
      <c r="A5" t="s">
        <v>188</v>
      </c>
      <c r="B5" s="18">
        <v>-10000000</v>
      </c>
      <c r="C5" s="18">
        <f t="shared" si="1"/>
        <v>8500000</v>
      </c>
      <c r="D5" s="18" t="s">
        <v>186</v>
      </c>
      <c r="E5">
        <v>1</v>
      </c>
      <c r="F5" s="18">
        <f t="shared" ref="F5:F10" si="2">C5*E5</f>
        <v>8500000</v>
      </c>
    </row>
    <row r="6" spans="1:21">
      <c r="A6" t="s">
        <v>196</v>
      </c>
      <c r="B6" s="18">
        <v>-4000000</v>
      </c>
      <c r="C6" s="18">
        <f t="shared" si="1"/>
        <v>4500000</v>
      </c>
      <c r="D6" s="18" t="s">
        <v>197</v>
      </c>
      <c r="E6">
        <v>106</v>
      </c>
      <c r="F6" s="18">
        <f t="shared" si="2"/>
        <v>477000000</v>
      </c>
    </row>
    <row r="7" spans="1:21">
      <c r="A7" t="s">
        <v>460</v>
      </c>
      <c r="B7" s="18">
        <v>-4000000</v>
      </c>
      <c r="C7" s="18">
        <f t="shared" si="1"/>
        <v>500000</v>
      </c>
      <c r="D7" s="18" t="s">
        <v>462</v>
      </c>
      <c r="E7">
        <v>1</v>
      </c>
      <c r="F7" s="18">
        <f>C7*E7</f>
        <v>500000</v>
      </c>
    </row>
    <row r="8" spans="1:21">
      <c r="B8" s="18"/>
      <c r="C8" s="18">
        <f t="shared" si="1"/>
        <v>500000</v>
      </c>
      <c r="D8" s="18"/>
      <c r="F8" s="18">
        <f t="shared" si="2"/>
        <v>0</v>
      </c>
    </row>
    <row r="9" spans="1:21">
      <c r="B9" s="18"/>
      <c r="C9" s="18">
        <f t="shared" si="1"/>
        <v>500000</v>
      </c>
      <c r="D9" s="18"/>
      <c r="F9" s="18">
        <f t="shared" si="2"/>
        <v>0</v>
      </c>
    </row>
    <row r="10" spans="1:21">
      <c r="B10" s="18"/>
      <c r="C10" s="18">
        <f t="shared" si="1"/>
        <v>500000</v>
      </c>
      <c r="D10" s="18"/>
      <c r="F10" s="18">
        <f t="shared" si="2"/>
        <v>0</v>
      </c>
    </row>
    <row r="11" spans="1:21">
      <c r="B11" s="18"/>
      <c r="C11" s="18">
        <f t="shared" si="1"/>
        <v>500000</v>
      </c>
      <c r="D11" s="18"/>
      <c r="F11" s="18"/>
    </row>
    <row r="12" spans="1:21" ht="45">
      <c r="B12" s="18"/>
      <c r="C12" s="18">
        <f t="shared" si="1"/>
        <v>500000</v>
      </c>
      <c r="D12" s="18"/>
      <c r="F12" s="18"/>
      <c r="O12" s="67" t="s">
        <v>232</v>
      </c>
      <c r="P12" s="67" t="s">
        <v>234</v>
      </c>
      <c r="Q12" s="67" t="s">
        <v>233</v>
      </c>
      <c r="R12" s="67" t="s">
        <v>235</v>
      </c>
      <c r="S12" s="11"/>
      <c r="T12" s="11"/>
      <c r="U12" s="11"/>
    </row>
    <row r="13" spans="1:21">
      <c r="B13" s="18"/>
      <c r="C13" s="18">
        <f t="shared" si="1"/>
        <v>500000</v>
      </c>
      <c r="D13" s="18"/>
      <c r="F13" s="18"/>
      <c r="O13" s="68">
        <v>6</v>
      </c>
      <c r="P13" s="68">
        <v>36</v>
      </c>
      <c r="Q13" s="67">
        <v>0.5</v>
      </c>
      <c r="R13" s="11">
        <f>P13/Q13</f>
        <v>72</v>
      </c>
      <c r="S13" s="11">
        <f>$R$13*$O$13/O13</f>
        <v>72</v>
      </c>
      <c r="T13" s="11"/>
      <c r="U13" s="11">
        <f>O13*R13*30.5</f>
        <v>13176</v>
      </c>
    </row>
    <row r="14" spans="1:21">
      <c r="B14" s="18"/>
      <c r="C14" s="18">
        <f t="shared" si="1"/>
        <v>500000</v>
      </c>
      <c r="D14" s="18"/>
      <c r="F14" s="18"/>
      <c r="O14" s="68">
        <v>9</v>
      </c>
      <c r="P14" s="68">
        <v>37</v>
      </c>
      <c r="Q14" s="67">
        <v>0.75</v>
      </c>
      <c r="R14" s="11">
        <f t="shared" ref="R14:R19" si="3">P14/Q14</f>
        <v>49.333333333333336</v>
      </c>
      <c r="S14" s="11">
        <f>$R$13*$O$13/O14</f>
        <v>48</v>
      </c>
      <c r="T14" s="11"/>
      <c r="U14" s="11">
        <f t="shared" ref="U14:U19" si="4">O14*R14*30.5</f>
        <v>13542</v>
      </c>
    </row>
    <row r="15" spans="1:21">
      <c r="B15" s="18"/>
      <c r="C15" s="18">
        <f t="shared" si="1"/>
        <v>500000</v>
      </c>
      <c r="D15" s="18"/>
      <c r="F15" s="18"/>
      <c r="O15" s="68">
        <v>12</v>
      </c>
      <c r="P15" s="68">
        <v>38</v>
      </c>
      <c r="Q15" s="67">
        <v>1</v>
      </c>
      <c r="R15" s="11">
        <f t="shared" si="3"/>
        <v>38</v>
      </c>
      <c r="S15" s="11">
        <f t="shared" ref="S15:S19" si="5">$R$13*$O$13/O15</f>
        <v>36</v>
      </c>
      <c r="T15" s="11"/>
      <c r="U15" s="11">
        <f t="shared" si="4"/>
        <v>13908</v>
      </c>
    </row>
    <row r="16" spans="1:21">
      <c r="B16" s="18"/>
      <c r="C16" s="18">
        <f t="shared" si="1"/>
        <v>500000</v>
      </c>
      <c r="D16" s="18"/>
      <c r="F16" s="18"/>
      <c r="O16" s="68">
        <v>18</v>
      </c>
      <c r="P16" s="68">
        <v>41</v>
      </c>
      <c r="Q16" s="67">
        <v>2</v>
      </c>
      <c r="R16" s="11">
        <f t="shared" si="3"/>
        <v>20.5</v>
      </c>
      <c r="S16" s="11">
        <f t="shared" si="5"/>
        <v>24</v>
      </c>
      <c r="T16" s="11"/>
      <c r="U16" s="11">
        <f>O16*R16*30.5</f>
        <v>11254.5</v>
      </c>
    </row>
    <row r="17" spans="2:21">
      <c r="B17" s="18"/>
      <c r="C17" s="18">
        <f t="shared" si="1"/>
        <v>500000</v>
      </c>
      <c r="D17" s="18"/>
      <c r="F17" s="18"/>
      <c r="O17" s="68">
        <v>24</v>
      </c>
      <c r="P17" s="68">
        <v>44</v>
      </c>
      <c r="Q17" s="67">
        <v>3</v>
      </c>
      <c r="R17" s="11">
        <f t="shared" si="3"/>
        <v>14.666666666666666</v>
      </c>
      <c r="S17" s="11">
        <f t="shared" si="5"/>
        <v>18</v>
      </c>
      <c r="T17" s="11"/>
      <c r="U17" s="11">
        <f t="shared" si="4"/>
        <v>10736</v>
      </c>
    </row>
    <row r="18" spans="2:21">
      <c r="B18" s="18"/>
      <c r="C18" s="18">
        <f t="shared" si="1"/>
        <v>500000</v>
      </c>
      <c r="D18" s="18"/>
      <c r="F18" s="18"/>
      <c r="O18" s="68">
        <v>30</v>
      </c>
      <c r="P18" s="68">
        <v>47</v>
      </c>
      <c r="Q18" s="67">
        <v>4</v>
      </c>
      <c r="R18" s="11">
        <f t="shared" si="3"/>
        <v>11.75</v>
      </c>
      <c r="S18" s="11">
        <f t="shared" si="5"/>
        <v>14.4</v>
      </c>
      <c r="T18" s="11"/>
      <c r="U18" s="11">
        <f t="shared" si="4"/>
        <v>10751.25</v>
      </c>
    </row>
    <row r="19" spans="2:21">
      <c r="B19" s="18"/>
      <c r="C19" s="18">
        <f t="shared" si="1"/>
        <v>500000</v>
      </c>
      <c r="D19" s="18"/>
      <c r="F19" s="18"/>
      <c r="O19" s="68">
        <v>36</v>
      </c>
      <c r="P19" s="68">
        <v>50</v>
      </c>
      <c r="Q19" s="67">
        <v>5</v>
      </c>
      <c r="R19" s="11">
        <f t="shared" si="3"/>
        <v>10</v>
      </c>
      <c r="S19" s="11">
        <f t="shared" si="5"/>
        <v>12</v>
      </c>
      <c r="T19" s="11"/>
      <c r="U19" s="11">
        <f t="shared" si="4"/>
        <v>10980</v>
      </c>
    </row>
    <row r="20" spans="2:21">
      <c r="F20" s="18">
        <f>SUM(F2:F15)</f>
        <v>4619500000</v>
      </c>
      <c r="G20" t="s">
        <v>189</v>
      </c>
      <c r="H20">
        <v>24</v>
      </c>
      <c r="I20" t="s">
        <v>190</v>
      </c>
    </row>
    <row r="21" spans="2:21">
      <c r="P21" t="s">
        <v>25</v>
      </c>
    </row>
    <row r="22" spans="2:21">
      <c r="F22" s="18">
        <f>F20*H20/36500</f>
        <v>3037479.4520547944</v>
      </c>
      <c r="G22" t="s">
        <v>191</v>
      </c>
    </row>
    <row r="28" spans="2:21">
      <c r="G28" s="11" t="s">
        <v>572</v>
      </c>
      <c r="H28" s="11" t="s">
        <v>180</v>
      </c>
      <c r="I28" s="11" t="s">
        <v>571</v>
      </c>
      <c r="J28" s="11" t="s">
        <v>563</v>
      </c>
    </row>
    <row r="29" spans="2:21">
      <c r="G29" s="11">
        <f t="shared" ref="G29:G41" si="6">$I$47-I29</f>
        <v>67000</v>
      </c>
      <c r="H29" s="11" t="s">
        <v>569</v>
      </c>
      <c r="I29" s="11">
        <v>165000</v>
      </c>
      <c r="J29" s="11" t="s">
        <v>564</v>
      </c>
    </row>
    <row r="30" spans="2:21">
      <c r="G30" s="11">
        <f t="shared" si="6"/>
        <v>32000</v>
      </c>
      <c r="H30" s="11" t="s">
        <v>570</v>
      </c>
      <c r="I30" s="11">
        <v>200000</v>
      </c>
      <c r="J30" s="11" t="s">
        <v>565</v>
      </c>
    </row>
    <row r="31" spans="2:21">
      <c r="G31" s="11">
        <f t="shared" si="6"/>
        <v>2000</v>
      </c>
      <c r="H31" s="11" t="s">
        <v>1056</v>
      </c>
      <c r="I31" s="11">
        <v>230000</v>
      </c>
      <c r="J31" s="11" t="s">
        <v>477</v>
      </c>
    </row>
    <row r="32" spans="2:21">
      <c r="G32" s="11">
        <f>$I$47-I32</f>
        <v>47000</v>
      </c>
      <c r="H32" s="59" t="s">
        <v>798</v>
      </c>
      <c r="I32" s="11">
        <v>185000</v>
      </c>
      <c r="J32" s="11" t="s">
        <v>558</v>
      </c>
    </row>
    <row r="33" spans="6:23">
      <c r="G33" s="11">
        <f t="shared" si="6"/>
        <v>1000</v>
      </c>
      <c r="H33" s="11" t="s">
        <v>1137</v>
      </c>
      <c r="I33" s="11">
        <v>231000</v>
      </c>
      <c r="J33" s="11" t="s">
        <v>566</v>
      </c>
    </row>
    <row r="34" spans="6:23">
      <c r="G34" s="11">
        <f t="shared" si="6"/>
        <v>2000</v>
      </c>
      <c r="H34" s="11" t="s">
        <v>1056</v>
      </c>
      <c r="I34" s="11">
        <v>230000</v>
      </c>
      <c r="J34" s="11" t="s">
        <v>567</v>
      </c>
    </row>
    <row r="35" spans="6:23">
      <c r="G35" s="11">
        <f t="shared" si="6"/>
        <v>1000</v>
      </c>
      <c r="H35" s="11" t="s">
        <v>1137</v>
      </c>
      <c r="I35" s="11">
        <v>231000</v>
      </c>
      <c r="J35" s="11" t="s">
        <v>568</v>
      </c>
    </row>
    <row r="36" spans="6:23">
      <c r="F36" t="s">
        <v>25</v>
      </c>
      <c r="G36" s="11">
        <f t="shared" si="6"/>
        <v>13000</v>
      </c>
      <c r="H36" s="11" t="s">
        <v>642</v>
      </c>
      <c r="I36" s="11">
        <v>219000</v>
      </c>
      <c r="J36" s="11" t="s">
        <v>641</v>
      </c>
      <c r="O36" s="22"/>
    </row>
    <row r="37" spans="6:23">
      <c r="G37" s="11">
        <f t="shared" si="6"/>
        <v>14000</v>
      </c>
      <c r="H37" s="11" t="s">
        <v>651</v>
      </c>
      <c r="I37" s="11">
        <v>218000</v>
      </c>
      <c r="J37" s="11" t="s">
        <v>652</v>
      </c>
    </row>
    <row r="38" spans="6:23">
      <c r="G38" s="11">
        <f t="shared" si="6"/>
        <v>7500</v>
      </c>
      <c r="H38" s="11" t="s">
        <v>710</v>
      </c>
      <c r="I38" s="11">
        <v>224500</v>
      </c>
      <c r="J38" s="11" t="s">
        <v>709</v>
      </c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</row>
    <row r="39" spans="6:23">
      <c r="G39" s="11">
        <f t="shared" si="6"/>
        <v>42000</v>
      </c>
      <c r="H39" s="11" t="s">
        <v>745</v>
      </c>
      <c r="I39" s="11">
        <v>190000</v>
      </c>
      <c r="J39" s="11" t="s">
        <v>744</v>
      </c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</row>
    <row r="40" spans="6:23">
      <c r="G40" s="11">
        <f t="shared" si="6"/>
        <v>7000</v>
      </c>
      <c r="H40" s="11" t="s">
        <v>743</v>
      </c>
      <c r="I40" s="11">
        <v>225000</v>
      </c>
      <c r="J40" s="11" t="s">
        <v>742</v>
      </c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</row>
    <row r="41" spans="6:23">
      <c r="G41" s="11">
        <f t="shared" si="6"/>
        <v>1000</v>
      </c>
      <c r="H41" s="11" t="s">
        <v>1137</v>
      </c>
      <c r="I41" s="11">
        <v>231000</v>
      </c>
      <c r="J41" s="11" t="s">
        <v>785</v>
      </c>
      <c r="M41" s="25"/>
      <c r="N41" s="25"/>
      <c r="O41" s="71"/>
      <c r="P41" s="25"/>
      <c r="Q41" s="71"/>
      <c r="R41" s="71"/>
      <c r="S41" s="28"/>
      <c r="T41" s="28"/>
      <c r="U41" s="28"/>
      <c r="V41" s="28"/>
      <c r="W41" s="28"/>
    </row>
    <row r="42" spans="6:23">
      <c r="G42" s="11">
        <f>$I$47-I42</f>
        <v>16000</v>
      </c>
      <c r="H42" s="11" t="s">
        <v>786</v>
      </c>
      <c r="I42" s="11">
        <v>216000</v>
      </c>
      <c r="J42" s="11" t="s">
        <v>787</v>
      </c>
      <c r="M42" s="25"/>
      <c r="N42" s="25"/>
      <c r="O42" s="71"/>
      <c r="P42" s="25"/>
      <c r="Q42" s="71"/>
      <c r="R42" s="71"/>
      <c r="S42" s="28"/>
      <c r="T42" s="28"/>
      <c r="U42" s="25"/>
      <c r="V42" s="28"/>
      <c r="W42" s="28"/>
    </row>
    <row r="43" spans="6:23">
      <c r="G43" s="11">
        <f>$I$47-I43</f>
        <v>5000</v>
      </c>
      <c r="H43" s="11" t="s">
        <v>815</v>
      </c>
      <c r="I43" s="11">
        <v>227000</v>
      </c>
      <c r="J43" s="11" t="s">
        <v>816</v>
      </c>
      <c r="M43" s="25"/>
      <c r="N43" s="25"/>
      <c r="O43" s="25"/>
      <c r="P43" s="25"/>
      <c r="Q43" s="28"/>
      <c r="R43" s="25"/>
      <c r="S43" s="28"/>
      <c r="T43" s="25"/>
      <c r="U43" s="25"/>
      <c r="V43" s="25"/>
      <c r="W43" s="25"/>
    </row>
    <row r="44" spans="6:23">
      <c r="G44" s="11">
        <f>$I$47-I44</f>
        <v>3000</v>
      </c>
      <c r="H44" s="11" t="s">
        <v>878</v>
      </c>
      <c r="I44" s="11">
        <v>229000</v>
      </c>
      <c r="J44" s="11" t="s">
        <v>480</v>
      </c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</row>
    <row r="45" spans="6:23">
      <c r="G45" s="11">
        <f>$I$47-I45</f>
        <v>1000</v>
      </c>
      <c r="H45" s="11" t="s">
        <v>1137</v>
      </c>
      <c r="I45" s="11">
        <v>231000</v>
      </c>
      <c r="J45" s="11" t="s">
        <v>1136</v>
      </c>
      <c r="M45" s="25"/>
      <c r="N45" s="25"/>
      <c r="O45" s="25"/>
      <c r="P45" s="25"/>
      <c r="Q45" s="25"/>
      <c r="R45" s="25"/>
      <c r="S45" s="28"/>
      <c r="T45" s="25"/>
      <c r="U45" s="25"/>
      <c r="V45" s="25"/>
      <c r="W45" s="25"/>
    </row>
    <row r="46" spans="6:23">
      <c r="G46" s="11"/>
      <c r="H46" s="11"/>
      <c r="I46" s="11"/>
      <c r="J46" s="11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</row>
    <row r="47" spans="6:23">
      <c r="G47" s="11"/>
      <c r="H47" s="11"/>
      <c r="I47" s="11">
        <v>232000</v>
      </c>
      <c r="J47" s="11" t="s">
        <v>573</v>
      </c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</row>
    <row r="48" spans="6:23"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</row>
    <row r="49" spans="13:23"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</row>
    <row r="50" spans="13:23"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</row>
    <row r="51" spans="13:23">
      <c r="M51" s="25"/>
      <c r="N51" s="25"/>
      <c r="O51" s="25"/>
      <c r="P51" s="25"/>
      <c r="Q51" s="71"/>
      <c r="R51" s="25"/>
      <c r="S51" s="71"/>
      <c r="T51" s="25"/>
      <c r="U51" s="28"/>
      <c r="V51" s="25"/>
      <c r="W51" s="25"/>
    </row>
    <row r="52" spans="13:23">
      <c r="M52" s="25"/>
      <c r="N52" s="25"/>
      <c r="O52" s="70"/>
      <c r="P52" s="25"/>
      <c r="Q52" s="71"/>
      <c r="R52" s="25"/>
      <c r="S52" s="71"/>
      <c r="T52" s="25"/>
      <c r="U52" s="28"/>
      <c r="V52" s="25"/>
      <c r="W52" s="25"/>
    </row>
    <row r="53" spans="13:23">
      <c r="M53" s="25"/>
      <c r="N53" s="25"/>
      <c r="O53" s="70"/>
      <c r="P53" s="25"/>
      <c r="Q53" s="71"/>
      <c r="R53" s="25"/>
      <c r="S53" s="71"/>
      <c r="T53" s="25"/>
      <c r="U53" s="25"/>
      <c r="V53" s="25"/>
      <c r="W53" s="25"/>
    </row>
    <row r="54" spans="13:23">
      <c r="M54" s="25"/>
      <c r="N54" s="25"/>
      <c r="O54" s="25"/>
      <c r="P54" s="25"/>
      <c r="Q54" s="71"/>
      <c r="R54" s="25"/>
      <c r="S54" s="71"/>
      <c r="T54" s="25"/>
      <c r="U54" s="25"/>
      <c r="V54" s="25"/>
      <c r="W54" s="25"/>
    </row>
    <row r="55" spans="13:23">
      <c r="M55" s="25"/>
      <c r="N55" s="25"/>
      <c r="O55" s="25"/>
      <c r="P55" s="25"/>
      <c r="Q55" s="71"/>
      <c r="R55" s="25"/>
      <c r="S55" s="71"/>
      <c r="T55" s="25"/>
      <c r="U55" s="28"/>
      <c r="V55" s="25"/>
      <c r="W55" s="25"/>
    </row>
    <row r="56" spans="13:23">
      <c r="M56" s="25"/>
      <c r="N56" s="25"/>
      <c r="O56" s="25"/>
      <c r="P56" s="25"/>
      <c r="Q56" s="71"/>
      <c r="R56" s="25"/>
      <c r="S56" s="71"/>
      <c r="T56" s="25"/>
      <c r="U56" s="25"/>
      <c r="V56" s="25"/>
      <c r="W56" s="25"/>
    </row>
    <row r="57" spans="13:23">
      <c r="M57" s="25"/>
      <c r="N57" s="25"/>
      <c r="O57" s="25"/>
      <c r="P57" s="25"/>
      <c r="Q57" s="71"/>
      <c r="R57" s="25"/>
      <c r="S57" s="71"/>
      <c r="T57" s="25"/>
      <c r="U57" s="25"/>
      <c r="V57" s="25"/>
      <c r="W57" s="25"/>
    </row>
    <row r="58" spans="13:23">
      <c r="M58" s="25"/>
      <c r="N58" s="25"/>
      <c r="O58" s="25"/>
      <c r="P58" s="25"/>
      <c r="Q58" s="71"/>
      <c r="R58" s="25"/>
      <c r="S58" s="71"/>
      <c r="T58" s="25"/>
      <c r="U58" s="25"/>
      <c r="V58" s="25"/>
      <c r="W58" s="25"/>
    </row>
    <row r="59" spans="13:23">
      <c r="M59" s="25"/>
      <c r="N59" s="25"/>
      <c r="O59" s="25"/>
      <c r="P59" s="25"/>
      <c r="Q59" s="71"/>
      <c r="R59" s="25"/>
      <c r="S59" s="71"/>
      <c r="T59" s="25"/>
      <c r="U59" s="25"/>
      <c r="V59" s="25"/>
      <c r="W59" s="25"/>
    </row>
    <row r="60" spans="13:23">
      <c r="M60" s="25"/>
      <c r="N60" s="25"/>
      <c r="O60" s="25"/>
      <c r="P60" s="25"/>
      <c r="Q60" s="71"/>
      <c r="R60" s="25"/>
      <c r="S60" s="71"/>
      <c r="T60" s="25"/>
      <c r="U60" s="25"/>
      <c r="V60" s="25"/>
      <c r="W60" s="25"/>
    </row>
    <row r="61" spans="13:23">
      <c r="M61" s="25"/>
      <c r="N61" s="25"/>
      <c r="O61" s="25"/>
      <c r="P61" s="25"/>
      <c r="Q61" s="71"/>
      <c r="R61" s="25"/>
      <c r="S61" s="71"/>
      <c r="T61" s="25"/>
      <c r="U61" s="25"/>
      <c r="V61" s="25"/>
      <c r="W61" s="25"/>
    </row>
    <row r="62" spans="13:23">
      <c r="M62" s="25"/>
      <c r="N62" s="25"/>
      <c r="O62" s="25"/>
      <c r="P62" s="25"/>
      <c r="Q62" s="25"/>
      <c r="R62" s="25"/>
      <c r="S62" s="71"/>
      <c r="T62" s="25"/>
      <c r="U62" s="25"/>
      <c r="V62" s="25"/>
      <c r="W62" s="25"/>
    </row>
    <row r="63" spans="13:23">
      <c r="M63" s="25"/>
      <c r="N63" s="25"/>
      <c r="O63" s="25"/>
      <c r="P63" s="25"/>
      <c r="Q63" s="25"/>
      <c r="R63" s="25"/>
      <c r="S63" s="28"/>
      <c r="T63" s="25"/>
      <c r="U63" s="25"/>
      <c r="V63" s="25"/>
      <c r="W63" s="25"/>
    </row>
    <row r="64" spans="13:23"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</row>
    <row r="73" spans="15:17">
      <c r="O73">
        <v>105</v>
      </c>
      <c r="P73">
        <v>5.5</v>
      </c>
      <c r="Q73">
        <f>O73*P73</f>
        <v>577.5</v>
      </c>
    </row>
    <row r="74" spans="15:17">
      <c r="O74">
        <v>75</v>
      </c>
      <c r="P74">
        <v>10</v>
      </c>
      <c r="Q74">
        <f t="shared" ref="Q74:Q76" si="7">O74*P74</f>
        <v>750</v>
      </c>
    </row>
    <row r="75" spans="15:17">
      <c r="O75">
        <v>45</v>
      </c>
      <c r="P75">
        <v>5.5</v>
      </c>
      <c r="Q75">
        <f t="shared" si="7"/>
        <v>247.5</v>
      </c>
    </row>
    <row r="76" spans="15:17">
      <c r="O76">
        <v>15</v>
      </c>
      <c r="P76">
        <v>10</v>
      </c>
      <c r="Q76">
        <f t="shared" si="7"/>
        <v>150</v>
      </c>
    </row>
    <row r="78" spans="15:17">
      <c r="Q78" s="18">
        <f>SUM(Q73:Q76)*1000000</f>
        <v>1725000000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I27" sqref="I27"/>
    </sheetView>
  </sheetViews>
  <sheetFormatPr defaultRowHeight="15"/>
  <cols>
    <col min="1" max="1" width="8.7109375" bestFit="1" customWidth="1"/>
    <col min="2" max="3" width="16.140625" bestFit="1" customWidth="1"/>
    <col min="4" max="4" width="15.85546875" bestFit="1" customWidth="1"/>
    <col min="5" max="5" width="22.85546875" bestFit="1" customWidth="1"/>
    <col min="6" max="6" width="18.85546875" bestFit="1" customWidth="1"/>
    <col min="7" max="7" width="13.85546875" bestFit="1" customWidth="1"/>
    <col min="8" max="9" width="12.42578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>
        <v>43</v>
      </c>
      <c r="G2">
        <f>B2*F2</f>
        <v>718100</v>
      </c>
      <c r="H2">
        <f>C2*F2</f>
        <v>718100</v>
      </c>
      <c r="I2">
        <f>D2*F2</f>
        <v>0</v>
      </c>
    </row>
    <row r="3" spans="1:17">
      <c r="A3" s="2" t="s">
        <v>2</v>
      </c>
      <c r="B3" s="1">
        <v>19900000</v>
      </c>
      <c r="C3" s="1">
        <v>11387000</v>
      </c>
      <c r="D3" s="3">
        <f t="shared" ref="D3:D21" si="0">B3-C3</f>
        <v>8513000</v>
      </c>
      <c r="E3" s="2" t="s">
        <v>9</v>
      </c>
      <c r="F3">
        <v>42</v>
      </c>
      <c r="G3">
        <f t="shared" ref="G3:G19" si="1">B3*F3</f>
        <v>835800000</v>
      </c>
      <c r="H3">
        <f t="shared" ref="H3:H19" si="2">C3*F3</f>
        <v>478254000</v>
      </c>
      <c r="I3">
        <f t="shared" ref="I3:I19" si="3">D3*F3</f>
        <v>357546000</v>
      </c>
    </row>
    <row r="4" spans="1:17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>
        <v>43</v>
      </c>
      <c r="G4">
        <f t="shared" si="1"/>
        <v>0</v>
      </c>
      <c r="H4">
        <f t="shared" si="2"/>
        <v>365500</v>
      </c>
      <c r="I4">
        <f t="shared" si="3"/>
        <v>-365500</v>
      </c>
      <c r="O4">
        <v>18</v>
      </c>
      <c r="P4">
        <v>43</v>
      </c>
      <c r="Q4">
        <v>44</v>
      </c>
    </row>
    <row r="5" spans="1:17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>
        <v>40</v>
      </c>
      <c r="G5">
        <f t="shared" si="1"/>
        <v>80000000</v>
      </c>
      <c r="H5">
        <f t="shared" si="2"/>
        <v>0</v>
      </c>
      <c r="I5">
        <f t="shared" si="3"/>
        <v>80000000</v>
      </c>
      <c r="O5">
        <v>19</v>
      </c>
      <c r="P5">
        <v>42</v>
      </c>
      <c r="Q5">
        <v>43</v>
      </c>
    </row>
    <row r="6" spans="1:17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>
        <v>34</v>
      </c>
      <c r="G6">
        <f t="shared" si="1"/>
        <v>-170000</v>
      </c>
      <c r="H6">
        <f t="shared" si="2"/>
        <v>0</v>
      </c>
      <c r="I6">
        <f t="shared" si="3"/>
        <v>-170000</v>
      </c>
      <c r="O6">
        <v>20</v>
      </c>
      <c r="P6">
        <v>41</v>
      </c>
      <c r="Q6">
        <v>42</v>
      </c>
    </row>
    <row r="7" spans="1:17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>
        <v>31</v>
      </c>
      <c r="G7">
        <f t="shared" si="1"/>
        <v>-37215500</v>
      </c>
      <c r="H7">
        <f t="shared" si="2"/>
        <v>0</v>
      </c>
      <c r="I7">
        <f t="shared" si="3"/>
        <v>-37215500</v>
      </c>
      <c r="O7">
        <v>21</v>
      </c>
      <c r="P7">
        <v>40</v>
      </c>
      <c r="Q7">
        <v>41</v>
      </c>
    </row>
    <row r="8" spans="1:17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>
        <v>30</v>
      </c>
      <c r="G8">
        <f t="shared" si="1"/>
        <v>-6000000</v>
      </c>
      <c r="H8">
        <f t="shared" si="2"/>
        <v>0</v>
      </c>
      <c r="I8">
        <f t="shared" si="3"/>
        <v>-6000000</v>
      </c>
      <c r="O8">
        <v>22</v>
      </c>
      <c r="P8">
        <v>39</v>
      </c>
      <c r="Q8">
        <v>40</v>
      </c>
    </row>
    <row r="9" spans="1:17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>
        <v>28</v>
      </c>
      <c r="G9">
        <f t="shared" si="1"/>
        <v>-19754000</v>
      </c>
      <c r="H9">
        <f t="shared" si="2"/>
        <v>0</v>
      </c>
      <c r="I9">
        <f t="shared" si="3"/>
        <v>-19754000</v>
      </c>
      <c r="O9">
        <v>23</v>
      </c>
      <c r="P9">
        <v>38</v>
      </c>
      <c r="Q9">
        <v>39</v>
      </c>
    </row>
    <row r="10" spans="1:17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>
        <v>19</v>
      </c>
      <c r="G10">
        <f t="shared" si="1"/>
        <v>-3800000</v>
      </c>
      <c r="H10">
        <f t="shared" si="2"/>
        <v>0</v>
      </c>
      <c r="I10">
        <f t="shared" si="3"/>
        <v>-3800000</v>
      </c>
      <c r="O10">
        <v>24</v>
      </c>
      <c r="P10">
        <v>37</v>
      </c>
      <c r="Q10">
        <v>38</v>
      </c>
    </row>
    <row r="11" spans="1:17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>
        <v>18</v>
      </c>
      <c r="G11">
        <f t="shared" si="1"/>
        <v>18000000</v>
      </c>
      <c r="H11">
        <f t="shared" si="2"/>
        <v>0</v>
      </c>
      <c r="I11">
        <f t="shared" si="3"/>
        <v>18000000</v>
      </c>
      <c r="O11">
        <v>25</v>
      </c>
      <c r="P11">
        <v>36</v>
      </c>
      <c r="Q11">
        <v>37</v>
      </c>
    </row>
    <row r="12" spans="1:17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>
        <v>15</v>
      </c>
      <c r="G12">
        <f t="shared" si="1"/>
        <v>-4500000</v>
      </c>
      <c r="H12">
        <f t="shared" si="2"/>
        <v>0</v>
      </c>
      <c r="I12">
        <f t="shared" si="3"/>
        <v>-4500000</v>
      </c>
      <c r="O12">
        <v>26</v>
      </c>
      <c r="P12">
        <v>35</v>
      </c>
      <c r="Q12">
        <v>36</v>
      </c>
    </row>
    <row r="13" spans="1:17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>
        <v>10</v>
      </c>
      <c r="G13">
        <f t="shared" si="1"/>
        <v>-620000</v>
      </c>
      <c r="H13">
        <f t="shared" si="2"/>
        <v>0</v>
      </c>
      <c r="I13">
        <f t="shared" si="3"/>
        <v>-620000</v>
      </c>
      <c r="O13">
        <v>27</v>
      </c>
      <c r="P13">
        <v>34</v>
      </c>
      <c r="Q13">
        <v>35</v>
      </c>
    </row>
    <row r="14" spans="1:17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>
        <v>9</v>
      </c>
      <c r="G14">
        <f t="shared" si="1"/>
        <v>18000000</v>
      </c>
      <c r="H14">
        <f t="shared" si="2"/>
        <v>0</v>
      </c>
      <c r="I14">
        <f t="shared" si="3"/>
        <v>18000000</v>
      </c>
      <c r="O14">
        <v>28</v>
      </c>
      <c r="P14">
        <v>33</v>
      </c>
      <c r="Q14">
        <v>34</v>
      </c>
    </row>
    <row r="15" spans="1:17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>
        <v>8</v>
      </c>
      <c r="G15">
        <f t="shared" si="1"/>
        <v>14400000</v>
      </c>
      <c r="H15">
        <f t="shared" si="2"/>
        <v>0</v>
      </c>
      <c r="I15">
        <f t="shared" si="3"/>
        <v>14400000</v>
      </c>
      <c r="O15">
        <v>29</v>
      </c>
      <c r="P15">
        <v>32</v>
      </c>
      <c r="Q15">
        <v>33</v>
      </c>
    </row>
    <row r="16" spans="1:17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>
        <v>9</v>
      </c>
      <c r="G16">
        <f t="shared" si="1"/>
        <v>-1800000</v>
      </c>
      <c r="H16">
        <f t="shared" si="2"/>
        <v>0</v>
      </c>
      <c r="I16">
        <f t="shared" si="3"/>
        <v>-1800000</v>
      </c>
      <c r="O16">
        <v>31</v>
      </c>
      <c r="P16">
        <v>31</v>
      </c>
      <c r="Q16">
        <v>32</v>
      </c>
    </row>
    <row r="17" spans="1:17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>
        <v>5</v>
      </c>
      <c r="G17">
        <f t="shared" si="1"/>
        <v>-10000000</v>
      </c>
      <c r="H17">
        <f t="shared" si="2"/>
        <v>0</v>
      </c>
      <c r="I17">
        <f t="shared" si="3"/>
        <v>-10000000</v>
      </c>
      <c r="O17">
        <v>1</v>
      </c>
      <c r="P17">
        <v>30</v>
      </c>
      <c r="Q17">
        <v>31</v>
      </c>
    </row>
    <row r="18" spans="1:17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>
        <v>4</v>
      </c>
      <c r="G18">
        <f t="shared" si="1"/>
        <v>-1200000</v>
      </c>
      <c r="H18">
        <f t="shared" si="2"/>
        <v>0</v>
      </c>
      <c r="I18">
        <f t="shared" si="3"/>
        <v>-1200000</v>
      </c>
      <c r="O18">
        <v>2</v>
      </c>
      <c r="P18">
        <v>29</v>
      </c>
      <c r="Q18">
        <v>30</v>
      </c>
    </row>
    <row r="19" spans="1:17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>
        <v>3</v>
      </c>
      <c r="G19">
        <f t="shared" si="1"/>
        <v>-600000</v>
      </c>
      <c r="H19">
        <f t="shared" si="2"/>
        <v>0</v>
      </c>
      <c r="I19">
        <f t="shared" si="3"/>
        <v>-600000</v>
      </c>
      <c r="O19">
        <v>3</v>
      </c>
      <c r="P19">
        <v>28</v>
      </c>
      <c r="Q19">
        <v>29</v>
      </c>
    </row>
    <row r="20" spans="1:17">
      <c r="A20" s="2"/>
      <c r="B20" s="1"/>
      <c r="C20" s="1"/>
      <c r="D20" s="3">
        <f t="shared" si="0"/>
        <v>0</v>
      </c>
      <c r="E20" s="2"/>
      <c r="O20">
        <v>4</v>
      </c>
      <c r="P20">
        <v>27</v>
      </c>
      <c r="Q20">
        <v>28</v>
      </c>
    </row>
    <row r="21" spans="1:17">
      <c r="A21" s="2"/>
      <c r="B21" s="1"/>
      <c r="C21" s="1"/>
      <c r="D21" s="3">
        <f t="shared" si="0"/>
        <v>0</v>
      </c>
      <c r="E21" s="2"/>
      <c r="G21">
        <f>SUM(G2:G19)</f>
        <v>881258600</v>
      </c>
      <c r="H21">
        <f>SUM(H2:H19)</f>
        <v>479337600</v>
      </c>
      <c r="I21">
        <f>SUM(I2:I19)</f>
        <v>401921000</v>
      </c>
      <c r="O21">
        <v>5</v>
      </c>
      <c r="P21">
        <v>26</v>
      </c>
      <c r="Q21">
        <v>27</v>
      </c>
    </row>
    <row r="22" spans="1:17">
      <c r="A22" s="2"/>
      <c r="B22" s="1"/>
      <c r="C22" s="1" t="s">
        <v>25</v>
      </c>
      <c r="D22" s="3"/>
      <c r="E22" s="2"/>
      <c r="G22" t="s">
        <v>35</v>
      </c>
      <c r="H22" t="s">
        <v>36</v>
      </c>
      <c r="I22" t="s">
        <v>37</v>
      </c>
      <c r="O22">
        <v>6</v>
      </c>
      <c r="P22">
        <v>25</v>
      </c>
      <c r="Q22">
        <v>26</v>
      </c>
    </row>
    <row r="23" spans="1:17">
      <c r="A23" s="2"/>
      <c r="B23" s="2" t="s">
        <v>25</v>
      </c>
      <c r="C23" s="2"/>
      <c r="D23" s="2"/>
      <c r="E23" s="2"/>
      <c r="G23" s="1">
        <v>271089</v>
      </c>
      <c r="H23" s="1">
        <f>H21*G23/G21</f>
        <v>147451.78162959203</v>
      </c>
      <c r="I23" s="1">
        <f>I21*G23/G21</f>
        <v>123637.21837040797</v>
      </c>
      <c r="O23">
        <v>7</v>
      </c>
      <c r="P23">
        <v>24</v>
      </c>
      <c r="Q23">
        <v>25</v>
      </c>
    </row>
    <row r="24" spans="1:17">
      <c r="A24" s="2" t="s">
        <v>6</v>
      </c>
      <c r="B24" s="3">
        <f>SUM(B2:B21)</f>
        <v>21343700</v>
      </c>
      <c r="C24" s="3">
        <f>SUM(C2:C21)</f>
        <v>11412200</v>
      </c>
      <c r="D24" s="3">
        <f>SUM(D2:D21)</f>
        <v>9931500</v>
      </c>
      <c r="E24" s="2"/>
      <c r="G24" s="9" t="s">
        <v>66</v>
      </c>
      <c r="H24" s="9" t="s">
        <v>38</v>
      </c>
      <c r="I24" s="9" t="s">
        <v>39</v>
      </c>
      <c r="O24">
        <v>8</v>
      </c>
      <c r="P24">
        <v>23</v>
      </c>
      <c r="Q24">
        <v>24</v>
      </c>
    </row>
    <row r="25" spans="1:17">
      <c r="O25">
        <v>9</v>
      </c>
      <c r="P25">
        <v>22</v>
      </c>
      <c r="Q25">
        <v>23</v>
      </c>
    </row>
    <row r="26" spans="1:17">
      <c r="O26">
        <v>10</v>
      </c>
      <c r="P26">
        <v>21</v>
      </c>
      <c r="Q26">
        <v>22</v>
      </c>
    </row>
    <row r="27" spans="1:17">
      <c r="O27">
        <v>11</v>
      </c>
      <c r="P27">
        <v>20</v>
      </c>
      <c r="Q27">
        <v>21</v>
      </c>
    </row>
    <row r="28" spans="1:17">
      <c r="O28">
        <v>12</v>
      </c>
      <c r="P28">
        <v>19</v>
      </c>
      <c r="Q28">
        <v>20</v>
      </c>
    </row>
    <row r="29" spans="1:17">
      <c r="O29">
        <v>13</v>
      </c>
      <c r="P29">
        <v>18</v>
      </c>
      <c r="Q29">
        <v>19</v>
      </c>
    </row>
    <row r="30" spans="1:17">
      <c r="O30">
        <v>14</v>
      </c>
      <c r="P30">
        <v>17</v>
      </c>
      <c r="Q30">
        <v>18</v>
      </c>
    </row>
    <row r="31" spans="1:17">
      <c r="O31">
        <v>15</v>
      </c>
      <c r="P31">
        <v>16</v>
      </c>
      <c r="Q31">
        <v>17</v>
      </c>
    </row>
    <row r="32" spans="1:17">
      <c r="B32" s="7"/>
      <c r="O32">
        <v>16</v>
      </c>
      <c r="P32">
        <v>15</v>
      </c>
      <c r="Q32">
        <v>16</v>
      </c>
    </row>
    <row r="33" spans="15:17">
      <c r="O33">
        <v>17</v>
      </c>
      <c r="P33">
        <v>14</v>
      </c>
      <c r="Q33">
        <v>15</v>
      </c>
    </row>
    <row r="34" spans="15:17">
      <c r="O34">
        <v>18</v>
      </c>
      <c r="P34">
        <v>13</v>
      </c>
      <c r="Q34">
        <v>14</v>
      </c>
    </row>
    <row r="35" spans="15:17">
      <c r="O35">
        <v>19</v>
      </c>
      <c r="P35">
        <v>12</v>
      </c>
      <c r="Q35">
        <v>13</v>
      </c>
    </row>
    <row r="36" spans="15:17">
      <c r="O36">
        <v>20</v>
      </c>
      <c r="P36">
        <v>11</v>
      </c>
      <c r="Q36">
        <v>12</v>
      </c>
    </row>
    <row r="37" spans="15:17">
      <c r="O37">
        <v>21</v>
      </c>
      <c r="P37">
        <v>10</v>
      </c>
      <c r="Q37">
        <v>11</v>
      </c>
    </row>
    <row r="38" spans="15:17">
      <c r="O38">
        <v>22</v>
      </c>
      <c r="P38">
        <v>9</v>
      </c>
      <c r="Q38">
        <v>10</v>
      </c>
    </row>
    <row r="39" spans="15:17">
      <c r="O39">
        <v>23</v>
      </c>
      <c r="P39">
        <v>8</v>
      </c>
      <c r="Q39">
        <v>9</v>
      </c>
    </row>
    <row r="40" spans="15:17">
      <c r="O40">
        <v>24</v>
      </c>
      <c r="P40">
        <v>7</v>
      </c>
      <c r="Q40">
        <v>8</v>
      </c>
    </row>
    <row r="41" spans="15:17">
      <c r="O41">
        <v>25</v>
      </c>
      <c r="P41">
        <v>6</v>
      </c>
      <c r="Q41">
        <v>7</v>
      </c>
    </row>
    <row r="42" spans="15:17">
      <c r="O42">
        <v>26</v>
      </c>
      <c r="P42">
        <v>5</v>
      </c>
      <c r="Q42">
        <v>6</v>
      </c>
    </row>
    <row r="43" spans="15:17">
      <c r="O43">
        <v>27</v>
      </c>
      <c r="P43">
        <v>4</v>
      </c>
      <c r="Q43">
        <v>5</v>
      </c>
    </row>
    <row r="44" spans="15:17">
      <c r="O44">
        <v>28</v>
      </c>
      <c r="P44">
        <v>3</v>
      </c>
      <c r="Q44">
        <v>4</v>
      </c>
    </row>
    <row r="45" spans="15:17">
      <c r="O45">
        <v>29</v>
      </c>
      <c r="P45">
        <v>2</v>
      </c>
      <c r="Q45">
        <v>3</v>
      </c>
    </row>
    <row r="46" spans="15:17">
      <c r="O46">
        <v>30</v>
      </c>
      <c r="P46">
        <v>1</v>
      </c>
      <c r="Q46">
        <v>2</v>
      </c>
    </row>
    <row r="47" spans="15:17">
      <c r="O47">
        <v>31</v>
      </c>
      <c r="P47">
        <v>0</v>
      </c>
      <c r="Q47">
        <v>1</v>
      </c>
    </row>
    <row r="48" spans="15:17">
      <c r="P48" t="s">
        <v>60</v>
      </c>
      <c r="Q48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37</vt:i4>
      </vt:variant>
    </vt:vector>
  </HeadingPairs>
  <TitlesOfParts>
    <vt:vector size="37" baseType="lpstr">
      <vt:lpstr>اردیبهشت 97</vt:lpstr>
      <vt:lpstr>سارا</vt:lpstr>
      <vt:lpstr>مسکن علی سید الشهدا</vt:lpstr>
      <vt:lpstr>مسکن ایلیا</vt:lpstr>
      <vt:lpstr>مسکن مریم یاران</vt:lpstr>
      <vt:lpstr>برنامه 5 ساله</vt:lpstr>
      <vt:lpstr>مسکن مریم سید الشهدا</vt:lpstr>
      <vt:lpstr>بدهی خانه</vt:lpstr>
      <vt:lpstr>اردیبهشت95</vt:lpstr>
      <vt:lpstr>خرداد 95</vt:lpstr>
      <vt:lpstr>تیرماه95</vt:lpstr>
      <vt:lpstr>مرداد 95</vt:lpstr>
      <vt:lpstr>شهریور 95</vt:lpstr>
      <vt:lpstr>مهر 95</vt:lpstr>
      <vt:lpstr>آبان 95</vt:lpstr>
      <vt:lpstr>آذر 95</vt:lpstr>
      <vt:lpstr>دی 95</vt:lpstr>
      <vt:lpstr>بهمن 95</vt:lpstr>
      <vt:lpstr>اسفند 95</vt:lpstr>
      <vt:lpstr>فروردین 96</vt:lpstr>
      <vt:lpstr>اردیبهشت 96</vt:lpstr>
      <vt:lpstr>خرداد 96</vt:lpstr>
      <vt:lpstr>تیر 96</vt:lpstr>
      <vt:lpstr>مرداد 96</vt:lpstr>
      <vt:lpstr>شهریور 96</vt:lpstr>
      <vt:lpstr>مهر96</vt:lpstr>
      <vt:lpstr>آبان 96</vt:lpstr>
      <vt:lpstr>آذر 96</vt:lpstr>
      <vt:lpstr>دی 96</vt:lpstr>
      <vt:lpstr>بهمن 96</vt:lpstr>
      <vt:lpstr>اسفند 96</vt:lpstr>
      <vt:lpstr>فروردین 97</vt:lpstr>
      <vt:lpstr>لیست خرید و فروش</vt:lpstr>
      <vt:lpstr>اوراق بدون ریسک</vt:lpstr>
      <vt:lpstr>نکات</vt:lpstr>
      <vt:lpstr>سکه</vt:lpstr>
      <vt:lpstr>bluecard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2018-04-26T00:03:23Z</dcterms:modified>
</cp:coreProperties>
</file>