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هر97" sheetId="4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شهریور97" sheetId="46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AH88" i="18" l="1"/>
  <c r="AH87" i="18"/>
  <c r="AH89" i="18"/>
  <c r="AH86" i="18"/>
  <c r="AK75" i="18"/>
  <c r="AK72" i="18"/>
  <c r="AK73" i="18"/>
  <c r="AK74" i="18"/>
  <c r="AK76" i="18"/>
  <c r="AK77" i="18"/>
  <c r="AK78" i="18"/>
  <c r="AK79" i="18"/>
  <c r="AJ79" i="18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Q36" i="18"/>
  <c r="N19" i="18"/>
  <c r="N21" i="18"/>
  <c r="AP49" i="18"/>
  <c r="AP18" i="18"/>
  <c r="S33" i="18"/>
  <c r="S34" i="18" s="1"/>
  <c r="C222" i="20"/>
  <c r="B29" i="46"/>
  <c r="G27" i="46"/>
  <c r="H27" i="46"/>
  <c r="I27" i="46"/>
  <c r="D27" i="46"/>
  <c r="D54" i="48"/>
  <c r="L19" i="18" s="1"/>
  <c r="N23" i="18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I9" i="48"/>
  <c r="H9" i="48"/>
  <c r="G9" i="48"/>
  <c r="D9" i="48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H206" i="20"/>
  <c r="H207" i="20"/>
  <c r="J207" i="20" s="1"/>
  <c r="H208" i="20"/>
  <c r="I208" i="20" s="1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G221" i="20"/>
  <c r="G220" i="20" s="1"/>
  <c r="G219" i="20" s="1"/>
  <c r="G218" i="20" s="1"/>
  <c r="G217" i="20" s="1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K207" i="20" s="1"/>
  <c r="D208" i="20"/>
  <c r="K208" i="20" s="1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N35" i="18"/>
  <c r="J208" i="20" l="1"/>
  <c r="I207" i="20"/>
  <c r="K206" i="20"/>
  <c r="I206" i="20"/>
  <c r="J206" i="20"/>
  <c r="Q26" i="18" l="1"/>
  <c r="P26" i="18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Q63" i="18" l="1"/>
  <c r="P42" i="18" l="1"/>
  <c r="P43" i="18" s="1"/>
  <c r="N43" i="18" s="1"/>
  <c r="N34" i="18"/>
  <c r="N20" i="18"/>
  <c r="Q56" i="18" s="1"/>
  <c r="AH80" i="18" l="1"/>
  <c r="N42" i="18" l="1"/>
  <c r="N33" i="18" l="1"/>
  <c r="AK70" i="18" l="1"/>
  <c r="AK71" i="18"/>
  <c r="AJ68" i="18" l="1"/>
  <c r="AJ67" i="18"/>
  <c r="AK68" i="18"/>
  <c r="U41" i="18"/>
  <c r="AK69" i="18" l="1"/>
  <c r="AJ66" i="18"/>
  <c r="AK67" i="18"/>
  <c r="Q59" i="18"/>
  <c r="AJ65" i="18" l="1"/>
  <c r="AK66" i="18"/>
  <c r="AC15" i="33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U32" i="18" l="1"/>
  <c r="AJ56" i="18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I200" i="20"/>
  <c r="I197" i="20"/>
  <c r="AJ52" i="18"/>
  <c r="AK53" i="18"/>
  <c r="I196" i="20"/>
  <c r="I190" i="20"/>
  <c r="J188" i="20"/>
  <c r="I187" i="20"/>
  <c r="I186" i="20"/>
  <c r="J180" i="20"/>
  <c r="E38" i="14"/>
  <c r="G38" i="14" s="1"/>
  <c r="K176" i="20"/>
  <c r="K175" i="20"/>
  <c r="J191" i="20" l="1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H3" i="44"/>
  <c r="B27" i="48" l="1"/>
  <c r="D2" i="48"/>
  <c r="I2" i="48" s="1"/>
  <c r="I28" i="48" s="1"/>
  <c r="I33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H4" i="44"/>
  <c r="D6" i="44" s="1"/>
  <c r="C9" i="44" s="1"/>
  <c r="D64" i="43"/>
  <c r="D27" i="48" l="1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80" i="18" l="1"/>
  <c r="AH85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22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Q55" i="18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22" i="20" l="1"/>
  <c r="I119" i="20"/>
  <c r="K119" i="20"/>
  <c r="J116" i="20"/>
  <c r="E49" i="13"/>
  <c r="G50" i="13"/>
  <c r="I126" i="20"/>
  <c r="N17" i="18" l="1"/>
  <c r="N45" i="18" s="1"/>
  <c r="D229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s="1"/>
  <c r="L45" i="18" l="1"/>
  <c r="E33" i="13"/>
  <c r="G34" i="13"/>
  <c r="I97" i="20"/>
  <c r="K97" i="20"/>
  <c r="J97" i="20"/>
  <c r="F108" i="15"/>
  <c r="C20" i="18"/>
  <c r="G20" i="14"/>
  <c r="G21" i="14"/>
  <c r="L47" i="18" l="1"/>
  <c r="F21" i="18"/>
  <c r="G21" i="18" s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22" i="20" s="1"/>
  <c r="J2" i="20"/>
  <c r="J222" i="20" s="1"/>
  <c r="I2" i="20"/>
  <c r="I222" i="20" s="1"/>
  <c r="F13" i="15"/>
  <c r="I225" i="20" l="1"/>
  <c r="J225" i="20"/>
  <c r="K225" i="20"/>
  <c r="F12" i="15"/>
  <c r="J229" i="20" l="1"/>
  <c r="K229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<sst xmlns="http://schemas.openxmlformats.org/spreadsheetml/2006/main" count="9006" uniqueCount="4267">
  <si>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</si>
  <si>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</si>
  <si>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</si>
  <si>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</si>
  <si>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</si>
  <si>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</si>
  <si>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</si>
  <si>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</si>
  <si>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</si>
  <si>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</si>
  <si>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</si>
  <si>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</si>
  <si>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</si>
  <si>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</si>
  <si>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</si>
  <si>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</si>
  <si>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</si>
  <si>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</si>
  <si>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</si>
  <si>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</si>
  <si>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</si>
  <si>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</si>
  <si>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</si>
  <si>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</si>
  <si>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</si>
  <si>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</si>
  <si>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</si>
  <si>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</si>
  <si>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</si>
  <si>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</si>
  <si>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</si>
  <si>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</si>
  <si>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</si>
  <si>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</si>
  <si>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</si>
  <si>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</si>
  <si>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</si>
  <si>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</si>
  <si>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</si>
  <si>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</si>
  <si>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</si>
  <si>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</si>
  <si>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</si>
  <si>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</si>
  <si>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</si>
  <si>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</si>
  <si>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</si>
  <si>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</si>
  <si>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</si>
  <si>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</si>
  <si>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</si>
  <si>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</si>
  <si>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</si>
  <si>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</si>
  <si>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</si>
  <si>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</si>
  <si>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</si>
  <si>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</si>
  <si>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</si>
  <si>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</si>
  <si>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</si>
  <si>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</si>
  <si>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</si>
  <si>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</si>
  <si>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</si>
  <si>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</si>
  <si>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</si>
  <si>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</si>
  <si>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</si>
  <si>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</si>
  <si>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</si>
  <si>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</si>
  <si>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</si>
  <si>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</si>
  <si>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</si>
  <si>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</si>
  <si>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</si>
  <si>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</si>
  <si>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</si>
  <si>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</si>
  <si>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</si>
  <si>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</si>
  <si>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</si>
  <si>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</si>
  <si>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</si>
  <si>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</si>
  <si>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</si>
  <si>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</si>
  <si>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</si>
  <si>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</si>
  <si>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</si>
  <si>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</si>
  <si>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</si>
  <si>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</si>
  <si>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</si>
  <si>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</si>
  <si>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</si>
  <si>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</si>
  <si>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</si>
  <si>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</si>
  <si>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</si>
  <si>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</si>
  <si>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</si>
  <si>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</si>
  <si>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</si>
  <si>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</si>
  <si>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</si>
  <si>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</si>
  <si>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</si>
  <si>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</si>
  <si>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</si>
  <si>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</si>
  <si>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</si>
  <si>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</si>
  <si>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</si>
  <si>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</si>
  <si>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</si>
  <si>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</si>
  <si>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</si>
  <si>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</si>
  <si>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</si>
  <si>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</si>
  <si>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</si>
  <si>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</si>
  <si>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</si>
  <si>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</si>
  <si>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</si>
  <si>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</si>
  <si>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</si>
  <si>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</si>
  <si>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</si>
  <si>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</si>
  <si>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</si>
  <si>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</si>
  <si>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</si>
  <si>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</si>
  <si>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</si>
  <si>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</si>
  <si>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</si>
  <si>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</si>
  <si>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</si>
  <si>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</si>
  <si>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</si>
  <si>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</si>
  <si>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</si>
  <si>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</si>
  <si>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</si>
  <si>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</si>
  <si>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</si>
  <si>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</si>
  <si>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</si>
  <si>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</si>
  <si>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</si>
  <si>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</si>
  <si>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</si>
  <si>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</si>
  <si>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</si>
  <si>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</si>
  <si>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</si>
  <si>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</si>
  <si>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</si>
  <si>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</si>
  <si>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</si>
  <si>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</si>
  <si>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</si>
  <si>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</si>
  <si>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</si>
  <si>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</si>
  <si>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</si>
  <si>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</si>
  <si>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</si>
  <si>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</si>
  <si>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</si>
  <si>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</si>
  <si>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</si>
  <si>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</si>
  <si>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</si>
  <si>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</si>
  <si>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</si>
  <si>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</si>
  <si>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</si>
  <si>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</si>
  <si>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</si>
  <si>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</si>
  <si>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</si>
  <si>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</si>
  <si>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</si>
  <si>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</si>
  <si>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</si>
  <si>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</si>
  <si>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</si>
  <si>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</si>
  <si>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</si>
  <si>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</si>
  <si>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</si>
  <si>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</si>
  <si>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</si>
  <si>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</si>
  <si>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</si>
  <si>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</si>
  <si>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</si>
  <si>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</si>
  <si>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</si>
  <si>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</si>
  <si>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</si>
  <si>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</si>
  <si>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</si>
  <si>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</si>
  <si>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</si>
  <si>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</si>
  <si>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</si>
  <si>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</si>
  <si>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</si>
  <si>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</si>
  <si>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</si>
  <si>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</si>
  <si>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</si>
  <si>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</si>
  <si>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</si>
  <si>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</si>
  <si>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</si>
  <si>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</si>
  <si>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</si>
  <si>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</si>
  <si>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</si>
  <si>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</si>
  <si>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</si>
  <si>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</si>
  <si>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</si>
  <si>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</si>
  <si>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</si>
  <si>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</si>
  <si>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</si>
  <si>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</si>
  <si>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</si>
  <si>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</si>
  <si>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</si>
  <si>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</si>
  <si>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</si>
  <si>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</si>
  <si>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</si>
  <si>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</si>
  <si>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</si>
  <si>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</si>
  <si>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</si>
  <si>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</si>
  <si>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</si>
  <si>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</si>
  <si>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</si>
  <si>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</si>
  <si>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</si>
  <si>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</si>
  <si>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</si>
  <si>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</si>
  <si>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</si>
  <si>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</si>
  <si>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</si>
  <si>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</si>
  <si>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</si>
  <si>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</si>
  <si>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</si>
  <si>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</si>
  <si>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</si>
  <si>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</si>
  <si>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</si>
  <si>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</si>
  <si>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</si>
  <si>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</si>
  <si>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</si>
  <si>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</si>
  <si>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</si>
  <si>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</si>
  <si>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</si>
  <si>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</si>
  <si>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</si>
  <si>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</si>
  <si>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</si>
  <si>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</si>
  <si>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</si>
  <si>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</si>
  <si>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</si>
  <si>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</si>
  <si>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</si>
  <si>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</si>
  <si>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</si>
  <si>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</si>
  <si>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</si>
  <si>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</si>
  <si>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</si>
  <si>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</si>
  <si>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</si>
  <si>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</si>
  <si>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</si>
  <si>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</si>
  <si>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</si>
  <si>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</si>
  <si>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</si>
  <si>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</si>
  <si>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</si>
  <si>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</si>
  <si>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</si>
  <si>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</si>
  <si>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</si>
  <si>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</si>
  <si>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</si>
  <si>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</si>
  <si>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</si>
  <si>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</si>
  <si>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</si>
  <si>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</si>
  <si>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</si>
  <si>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</si>
  <si>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</si>
  <si>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</si>
  <si>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</si>
  <si>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</si>
  <si>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</si>
  <si>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</si>
  <si>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</si>
  <si>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</si>
  <si>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</si>
  <si>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</si>
  <si>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</si>
  <si>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</si>
  <si>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</si>
  <si>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</si>
  <si>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</si>
  <si>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</si>
  <si>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</si>
  <si>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</si>
  <si>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</si>
  <si>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</si>
  <si>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</si>
  <si>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</si>
  <si>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</si>
  <si>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</si>
  <si>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</si>
  <si>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</si>
  <si>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</si>
  <si>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</si>
  <si>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</si>
  <si>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</si>
  <si>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</si>
  <si>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</si>
  <si>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</si>
  <si>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</si>
  <si>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</si>
  <si>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</si>
  <si>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</si>
  <si>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</si>
  <si>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</si>
  <si>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</si>
  <si>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</si>
  <si>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</si>
  <si>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</si>
  <si>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</si>
  <si>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</si>
  <si>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</si>
  <si>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</si>
  <si>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</si>
  <si>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</si>
  <si>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</si>
  <si>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</si>
  <si>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</si>
  <si>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</si>
  <si>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</si>
  <si>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</si>
  <si>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</si>
  <si>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</si>
  <si>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</si>
  <si>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</si>
  <si>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</si>
  <si>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</si>
  <si>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</si>
  <si>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</si>
  <si>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</si>
  <si>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</si>
  <si>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</si>
  <si>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</si>
  <si>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</si>
  <si>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</si>
  <si>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</si>
  <si>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</si>
  <si>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</si>
  <si>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</si>
  <si>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</si>
  <si>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</si>
  <si>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</si>
  <si>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</si>
  <si>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</si>
  <si>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</si>
  <si>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</si>
  <si>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</si>
  <si>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</si>
  <si>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</si>
  <si>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</si>
  <si>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</si>
  <si>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</si>
  <si>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</si>
  <si>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</si>
  <si>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</si>
  <si>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</si>
  <si>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</si>
  <si>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</si>
  <si>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</si>
  <si>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</si>
  <si>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</si>
  <si>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</si>
  <si>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</si>
  <si>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</si>
  <si>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</si>
  <si>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</si>
  <si>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</si>
  <si>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</si>
  <si>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</si>
  <si>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</si>
  <si>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</si>
  <si>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</si>
  <si>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</si>
  <si>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</si>
  <si>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</si>
  <si>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</si>
  <si>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</si>
  <si>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</si>
  <si>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</si>
  <si>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</si>
  <si>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</si>
  <si>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</si>
  <si>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</si>
  <si>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</si>
  <si>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</si>
  <si>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</si>
  <si>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</si>
  <si>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</si>
  <si>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</si>
  <si>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</si>
  <si>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</si>
  <si>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</si>
  <si>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</si>
  <si>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</si>
  <si>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</si>
  <si>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</si>
  <si>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</si>
  <si>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</si>
  <si>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</si>
  <si>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</si>
  <si>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</si>
  <si>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</si>
  <si>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</si>
  <si>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</si>
  <si>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</si>
  <si>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</si>
  <si>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</si>
  <si>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</si>
  <si>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</si>
  <si>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</si>
  <si>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</si>
  <si>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</si>
  <si>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</si>
  <si>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</si>
  <si>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</si>
  <si>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</si>
  <si>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</si>
  <si>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</si>
  <si>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</si>
  <si>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</si>
  <si>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</si>
  <si>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</si>
  <si>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</si>
  <si>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</si>
  <si>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</si>
  <si>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</si>
  <si>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</si>
  <si>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</si>
  <si>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</si>
  <si>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</si>
  <si>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</si>
  <si>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</si>
  <si>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</si>
  <si>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</si>
  <si>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</si>
  <si>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</si>
  <si>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</si>
  <si>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</si>
  <si>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</si>
  <si>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</si>
  <si>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</si>
  <si>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</si>
  <si>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</si>
  <si>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</si>
  <si>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</si>
  <si>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</si>
  <si>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</si>
  <si>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</si>
  <si>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</si>
  <si>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</si>
  <si>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</si>
  <si>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</si>
  <si>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</si>
  <si>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</si>
  <si>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</si>
  <si>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</si>
  <si>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</si>
  <si>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</si>
  <si>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</si>
  <si>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</si>
  <si>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</si>
  <si>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</si>
  <si>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</si>
  <si>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</si>
  <si>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</si>
  <si>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</si>
  <si>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</si>
  <si>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</si>
  <si>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</si>
  <si>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</si>
  <si>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</si>
  <si>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</si>
  <si>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</si>
  <si>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</si>
  <si>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</si>
  <si>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</si>
  <si>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</si>
  <si>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</si>
  <si>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</si>
  <si>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</si>
  <si>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</si>
  <si>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</si>
  <si>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</si>
  <si>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</si>
  <si>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</si>
  <si>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</si>
  <si>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</si>
  <si>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</si>
  <si>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</si>
  <si>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</si>
  <si>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</si>
  <si>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</si>
  <si>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</si>
  <si>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</si>
  <si>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</si>
  <si>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</si>
  <si>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</si>
  <si>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</si>
  <si>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</si>
  <si>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</si>
  <si>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</si>
  <si>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</si>
  <si>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</si>
  <si>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</si>
  <si>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</si>
  <si>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</si>
  <si>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</si>
  <si>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</si>
  <si>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</si>
  <si>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</si>
  <si>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</si>
  <si>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</si>
  <si>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</si>
  <si>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</si>
  <si>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</si>
  <si>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</si>
  <si>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</si>
  <si>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</si>
  <si>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</si>
  <si>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</si>
  <si>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</si>
  <si>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</si>
  <si>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</si>
  <si>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</si>
  <si>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</si>
  <si>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</si>
  <si>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</si>
  <si>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</si>
  <si>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</si>
  <si>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</si>
  <si>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</si>
  <si>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</si>
  <si>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</si>
  <si>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</si>
  <si>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</si>
  <si>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</si>
  <si>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</si>
  <si>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</si>
  <si>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</si>
  <si>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</si>
  <si>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</si>
  <si>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</si>
  <si>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</si>
  <si>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</si>
  <si>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</si>
  <si>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</si>
  <si>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</si>
  <si>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</si>
  <si>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</si>
  <si>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</si>
  <si>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</si>
  <si>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</si>
  <si>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</si>
  <si>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</si>
  <si>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</si>
  <si>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</si>
  <si>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</si>
  <si>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</si>
  <si>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</si>
  <si>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</si>
  <si>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</si>
  <si>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</si>
  <si>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</si>
  <si>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</si>
  <si>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</si>
  <si>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</si>
  <si>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</si>
  <si>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</si>
  <si>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</si>
  <si>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</si>
  <si>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</si>
  <si>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</si>
  <si>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</si>
  <si>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</si>
  <si>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</si>
  <si>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</si>
  <si>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</si>
  <si>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</si>
  <si>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</si>
  <si>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</si>
  <si>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</si>
  <si>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</si>
  <si>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</si>
  <si>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</si>
  <si>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</si>
  <si>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</si>
  <si>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</si>
  <si>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</si>
  <si>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</si>
  <si>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</si>
  <si>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</si>
  <si>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</si>
  <si>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</si>
  <si>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</si>
  <si>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</si>
  <si>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</si>
  <si>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</si>
  <si>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</si>
  <si>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</si>
  <si>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</si>
  <si>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</si>
  <si>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</si>
  <si>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</si>
  <si>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</si>
  <si>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</si>
  <si>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</si>
  <si>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</si>
  <si>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</si>
  <si>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</si>
  <si>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</si>
  <si>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</si>
  <si>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</si>
  <si>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</si>
  <si>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</si>
  <si>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</si>
  <si>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</si>
  <si>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</si>
  <si>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</si>
  <si>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</si>
  <si>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</si>
  <si>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</si>
  <si>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</si>
  <si>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</si>
  <si>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</si>
  <si>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</si>
  <si>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</si>
  <si>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</si>
  <si>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</si>
  <si>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</si>
  <si>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</si>
  <si>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</si>
  <si>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</si>
  <si>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</si>
  <si>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</si>
  <si>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</si>
  <si>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</si>
  <si>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</si>
  <si>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</si>
  <si>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</si>
  <si>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</si>
  <si>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</si>
  <si>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</si>
  <si>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</si>
  <si>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</si>
  <si>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</si>
  <si>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</si>
  <si>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</si>
  <si>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</si>
  <si>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</si>
  <si>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</si>
  <si>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</si>
  <si>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</si>
  <si>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</si>
  <si>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</si>
  <si>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</si>
  <si>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</si>
  <si>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</si>
  <si>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</si>
  <si>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</si>
  <si>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</si>
  <si>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</si>
  <si>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</si>
  <si>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</si>
  <si>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</si>
  <si>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</si>
  <si>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</si>
  <si>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</si>
  <si>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</si>
  <si>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</si>
  <si>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</si>
  <si>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</si>
  <si>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</si>
  <si>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</si>
  <si>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</si>
  <si>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</si>
  <si>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</si>
  <si>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</si>
  <si>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</si>
  <si>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</si>
  <si>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</si>
  <si>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</si>
  <si>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</si>
  <si>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</si>
  <si>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</si>
  <si>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</si>
  <si>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</si>
  <si>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</si>
  <si>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</si>
  <si>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</si>
  <si>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</si>
  <si>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</si>
  <si>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</si>
  <si>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</si>
  <si>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</si>
  <si>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</si>
  <si>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</si>
  <si>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</si>
  <si>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</si>
  <si>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</si>
  <si>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</si>
  <si>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</si>
  <si>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</si>
  <si>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</si>
  <si>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</si>
  <si>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</si>
  <si>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</si>
  <si>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</si>
  <si>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</si>
  <si>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</si>
  <si>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</si>
  <si>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</si>
  <si>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</si>
  <si>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</si>
  <si>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</si>
  <si>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</si>
  <si>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</si>
  <si>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</si>
  <si>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</si>
  <si>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</si>
  <si>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</si>
  <si>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</si>
  <si>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</si>
  <si>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</si>
  <si>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</si>
  <si>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</si>
  <si>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</si>
  <si>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</si>
  <si>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</si>
  <si>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</si>
  <si>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</si>
  <si>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</si>
  <si>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</si>
  <si>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</si>
  <si>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</si>
  <si>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</si>
  <si>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</si>
  <si>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</si>
  <si>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</si>
  <si>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</si>
  <si>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</si>
  <si>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</si>
  <si>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</si>
  <si>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</si>
  <si>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</si>
  <si>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</si>
  <si>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</si>
  <si>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</si>
  <si>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</si>
  <si>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</si>
  <si>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</si>
  <si>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</si>
  <si>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</si>
  <si>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</si>
  <si>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</si>
  <si>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</si>
  <si>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</si>
  <si>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</si>
  <si>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</si>
  <si>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</si>
  <si>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</si>
  <si>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</si>
  <si>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</si>
  <si>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</si>
  <si>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</si>
  <si>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</si>
  <si>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</si>
  <si>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</si>
  <si>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</si>
  <si>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</si>
  <si>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</si>
  <si>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</si>
  <si>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</si>
  <si>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</si>
  <si>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</si>
  <si>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</si>
  <si>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</si>
  <si>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</si>
  <si>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</si>
  <si>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</si>
  <si>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</si>
  <si>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</si>
  <si>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</si>
  <si>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</si>
  <si>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</si>
  <si>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</si>
  <si>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</si>
  <si>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</si>
  <si>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</si>
  <si>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</si>
  <si>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</si>
  <si>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</si>
  <si>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</si>
  <si>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</si>
  <si>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</si>
  <si>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</si>
  <si>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</si>
  <si>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</si>
  <si>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</si>
  <si>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</si>
  <si>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</si>
  <si>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</si>
  <si>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</si>
  <si>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</si>
  <si>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</si>
  <si>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</si>
  <si>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</si>
  <si>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</si>
  <si>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</si>
  <si>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</si>
  <si>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</si>
  <si>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</si>
  <si>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</si>
  <si>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</si>
  <si>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</si>
  <si>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</si>
  <si>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</si>
  <si>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</si>
  <si>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</si>
  <si>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</si>
  <si>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</si>
  <si>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</si>
  <si>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</si>
  <si>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</si>
  <si>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</si>
  <si>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</si>
  <si>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</si>
  <si>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</si>
  <si>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</si>
  <si>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</si>
  <si>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</si>
  <si>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</si>
  <si>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</si>
  <si>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</si>
  <si>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</si>
  <si>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</si>
  <si>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</si>
  <si>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</si>
  <si>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</si>
  <si>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</si>
  <si>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</si>
  <si>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</si>
  <si>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</si>
  <si>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</si>
  <si>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</si>
  <si>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</si>
  <si>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</si>
  <si>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</si>
  <si>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</si>
  <si>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</si>
  <si>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</si>
  <si>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</si>
  <si>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</si>
  <si>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</si>
  <si>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</si>
  <si>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</si>
  <si>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</si>
  <si>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</si>
  <si>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</si>
  <si>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</si>
  <si>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</si>
  <si>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</si>
  <si>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</si>
  <si>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</si>
  <si>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</si>
  <si>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</si>
  <si>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</si>
  <si>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</si>
  <si>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</si>
  <si>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</si>
  <si>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</si>
  <si>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</si>
  <si>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</si>
  <si>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</si>
  <si>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</si>
  <si>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</si>
  <si>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</si>
  <si>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</si>
  <si>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</si>
  <si>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</si>
  <si>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</si>
  <si>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</si>
  <si>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</si>
  <si>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</si>
  <si>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</si>
  <si>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</si>
  <si>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</si>
  <si>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</si>
  <si>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</si>
  <si>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</si>
  <si>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</si>
  <si>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</si>
  <si>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</si>
  <si>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</si>
  <si>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</si>
  <si>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</si>
  <si>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</si>
  <si>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</si>
  <si>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</si>
  <si>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</si>
  <si>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</si>
  <si>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</si>
  <si>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</si>
  <si>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</si>
  <si>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</si>
  <si>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</si>
  <si>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</si>
  <si>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</si>
  <si>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</si>
  <si>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</si>
  <si>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</si>
  <si>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</si>
  <si>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</si>
  <si>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</si>
  <si>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</si>
  <si>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</si>
  <si>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</si>
  <si>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</si>
  <si>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</si>
  <si>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</si>
  <si>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</si>
  <si>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</si>
  <si>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</si>
  <si>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</si>
  <si>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</si>
  <si>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</si>
  <si>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</si>
  <si>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</si>
  <si>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</si>
  <si>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</si>
  <si>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</si>
  <si>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</si>
  <si>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</si>
  <si>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</si>
  <si>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</si>
  <si>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</si>
  <si>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</si>
  <si>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</si>
  <si>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</si>
  <si>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</si>
  <si>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</si>
  <si>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</si>
  <si>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</si>
  <si>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</si>
  <si>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</si>
  <si>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</si>
  <si>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</si>
  <si>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</si>
  <si>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</si>
  <si>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</si>
  <si>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</si>
  <si>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</si>
  <si>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</si>
  <si>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</si>
  <si>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</si>
  <si>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</si>
  <si>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</si>
  <si>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</si>
  <si>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</si>
  <si>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</si>
  <si>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</si>
  <si>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</si>
  <si>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</si>
  <si>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</si>
  <si>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</si>
  <si>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</si>
  <si>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</si>
  <si>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</si>
  <si>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</si>
  <si>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</si>
  <si>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</si>
  <si>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</si>
  <si>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</si>
  <si>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</si>
  <si>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</si>
  <si>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</si>
  <si>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</si>
  <si>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</si>
  <si>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</si>
  <si>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</si>
  <si>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</si>
  <si>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</si>
  <si>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</si>
  <si>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</si>
  <si>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</si>
  <si>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</si>
  <si>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</si>
  <si>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</si>
  <si>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</si>
  <si>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</si>
  <si>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</si>
  <si>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</si>
  <si>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</si>
  <si>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</si>
  <si>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</si>
  <si>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</si>
  <si>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</si>
  <si>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</si>
  <si>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</si>
  <si>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</si>
  <si>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</si>
  <si>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</si>
  <si>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</si>
  <si>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</si>
  <si>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</si>
  <si>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</si>
  <si>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</si>
  <si>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</si>
  <si>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</si>
  <si>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</si>
  <si>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</si>
  <si>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</si>
  <si>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</si>
  <si>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</si>
  <si>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</si>
  <si>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</si>
  <si>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</si>
  <si>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</si>
  <si>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</si>
  <si>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</si>
  <si>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</si>
  <si>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</si>
  <si>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</si>
  <si>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</si>
  <si>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</si>
  <si>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</si>
  <si>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</si>
  <si>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</si>
  <si>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</si>
  <si>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</si>
  <si>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</si>
  <si>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</si>
  <si>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</si>
  <si>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</si>
  <si>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</si>
  <si>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</si>
  <si>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</si>
  <si>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</si>
  <si>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</si>
  <si>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</si>
  <si>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</si>
  <si>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</si>
  <si>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</si>
  <si>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</si>
  <si>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</si>
  <si>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</si>
  <si>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</si>
  <si>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</si>
  <si>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</si>
  <si>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</si>
  <si>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</si>
  <si>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</si>
  <si>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</si>
  <si>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</si>
  <si>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</si>
  <si>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</si>
  <si>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</si>
  <si>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</si>
  <si>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</si>
  <si>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</si>
  <si>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</si>
  <si>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</si>
  <si>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</si>
  <si>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</si>
  <si>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</si>
  <si>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</si>
  <si>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</si>
  <si>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</si>
  <si>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</si>
  <si>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</si>
  <si>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</si>
  <si>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</si>
  <si>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</si>
  <si>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</si>
  <si>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</si>
  <si>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</si>
  <si>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</si>
  <si>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</si>
  <si>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</si>
  <si>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</si>
  <si>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</si>
  <si>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</si>
  <si>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</si>
  <si>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</si>
  <si>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</si>
  <si>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</si>
  <si>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</si>
  <si>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</si>
  <si>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</si>
  <si>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</si>
  <si>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</si>
  <si>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</si>
  <si>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</si>
  <si>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</si>
  <si>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</si>
  <si>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</si>
  <si>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</si>
  <si>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</si>
  <si>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</si>
  <si>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</si>
  <si>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</si>
  <si>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</si>
  <si>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</si>
  <si>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</si>
  <si>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</si>
  <si>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</si>
  <si>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</si>
  <si>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</si>
  <si>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</si>
  <si>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</si>
  <si>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</si>
  <si>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</si>
  <si>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</si>
  <si>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</si>
  <si>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</si>
  <si>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</si>
  <si>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</si>
  <si>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</si>
  <si>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</si>
  <si>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</si>
  <si>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</si>
  <si>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</si>
  <si>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</si>
  <si>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</si>
  <si>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</si>
  <si>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</si>
  <si>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</si>
  <si>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</si>
  <si>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</si>
  <si>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</si>
  <si>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</si>
  <si>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</si>
  <si>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</si>
  <si>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</si>
  <si>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</si>
  <si>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</si>
  <si>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</si>
  <si>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</si>
  <si>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</si>
  <si>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</si>
  <si>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</si>
  <si>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</si>
  <si>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</si>
  <si>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</si>
  <si>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</si>
  <si>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</si>
  <si>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</si>
  <si>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</si>
  <si>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</si>
  <si>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</si>
  <si>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</si>
  <si>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</si>
  <si>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</si>
  <si>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</si>
  <si>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</si>
  <si>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</si>
  <si>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</si>
  <si>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</si>
  <si>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</si>
  <si>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</si>
  <si>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</si>
  <si>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</si>
  <si>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</si>
  <si>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</si>
  <si>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</si>
  <si>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</si>
  <si>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</si>
  <si>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</si>
  <si>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</si>
  <si>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</si>
  <si>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</si>
  <si>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</si>
  <si>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</si>
  <si>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</si>
  <si>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</si>
  <si>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</si>
  <si>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</si>
  <si>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</si>
  <si>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</si>
  <si>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</si>
  <si>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</si>
  <si>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</si>
  <si>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</si>
  <si>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</si>
  <si>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</si>
  <si>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</si>
  <si>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</si>
  <si>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</si>
  <si>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</si>
  <si>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</si>
  <si>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</si>
  <si>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</si>
  <si>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</si>
  <si>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</si>
  <si>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</si>
  <si>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</si>
  <si>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</si>
  <si>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</si>
  <si>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</si>
  <si>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</si>
  <si>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</si>
  <si>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</si>
  <si>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</si>
  <si>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</si>
  <si>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</si>
  <si>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</si>
  <si>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</si>
  <si>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</si>
  <si>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</si>
  <si>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</si>
  <si>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</si>
  <si>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</si>
  <si>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</si>
  <si>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</si>
  <si>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</si>
  <si>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</si>
  <si>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</si>
  <si>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</si>
  <si>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</si>
  <si>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</si>
  <si>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</si>
  <si>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</si>
  <si>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</si>
  <si>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</si>
  <si>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</si>
  <si>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</si>
  <si>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</si>
  <si>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</si>
  <si>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</si>
  <si>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</si>
  <si>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</si>
  <si>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</si>
  <si>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</si>
  <si>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</si>
  <si>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</si>
  <si>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</si>
  <si>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</si>
  <si>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</si>
  <si>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</si>
  <si>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</si>
  <si>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</si>
  <si>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</si>
  <si>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</si>
  <si>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</si>
  <si>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</si>
  <si>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</si>
  <si>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</si>
  <si>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</si>
  <si>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</si>
  <si>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</si>
  <si>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</si>
  <si>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</si>
  <si>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</si>
  <si>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</si>
  <si>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</si>
  <si>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</si>
  <si>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</si>
  <si>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</si>
  <si>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</si>
  <si>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</si>
  <si>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</si>
  <si>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</si>
  <si>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</si>
  <si>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</si>
  <si>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</si>
  <si>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</si>
  <si>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</si>
  <si>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</si>
  <si>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</si>
  <si>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</si>
  <si>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</si>
  <si>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</si>
  <si>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</si>
  <si>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</si>
  <si>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</si>
  <si>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</si>
  <si>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</si>
  <si>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</si>
  <si>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</si>
  <si>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</si>
  <si>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</si>
  <si>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</si>
  <si>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</si>
  <si>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</si>
  <si>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</si>
  <si>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</si>
  <si>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</si>
  <si>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</si>
  <si>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</si>
  <si>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</si>
  <si>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</si>
  <si>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</si>
  <si>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</si>
  <si>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</si>
  <si>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</si>
  <si>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</si>
  <si>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</si>
  <si>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</si>
  <si>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</si>
  <si>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</si>
  <si>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</si>
  <si>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</si>
  <si>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</si>
  <si>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</si>
  <si>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</si>
  <si>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</si>
  <si>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</si>
  <si>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</si>
  <si>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</si>
  <si>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</si>
  <si>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</si>
  <si>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</si>
  <si>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</si>
  <si>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</si>
  <si>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</si>
  <si>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</si>
  <si>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</si>
  <si>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</si>
  <si>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</si>
  <si>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</si>
  <si>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</si>
  <si>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</si>
  <si>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</si>
  <si>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</si>
  <si>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</si>
  <si>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</si>
  <si>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</si>
  <si>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</si>
  <si>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</si>
  <si>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</si>
  <si>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</si>
  <si>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</si>
  <si>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</si>
  <si>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</si>
  <si>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</si>
  <si>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</si>
  <si>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</si>
  <si>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</si>
  <si>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</si>
  <si>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</si>
  <si>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</si>
  <si>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</si>
  <si>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</si>
  <si>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</si>
  <si>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</si>
  <si>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</si>
  <si>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</si>
  <si>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</si>
  <si>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</si>
  <si>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</si>
  <si>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</si>
  <si>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</si>
  <si>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</si>
  <si>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</si>
  <si>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</si>
  <si>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</si>
  <si>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</si>
  <si>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</si>
  <si>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</si>
  <si>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</si>
  <si>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</si>
  <si>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</si>
  <si>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</si>
  <si>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</si>
  <si>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</si>
  <si>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</si>
  <si>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</si>
  <si>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</si>
  <si>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</si>
  <si>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</si>
  <si>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</si>
  <si>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</si>
  <si>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</si>
  <si>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</si>
  <si>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</si>
  <si>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</si>
  <si>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</si>
  <si>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</si>
  <si>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</si>
  <si>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</si>
  <si>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</si>
  <si>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</si>
  <si>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</si>
  <si>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</si>
  <si>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</si>
  <si>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</si>
  <si>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</si>
  <si>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</si>
  <si>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</si>
  <si>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</si>
  <si>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</si>
  <si>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</si>
  <si>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</si>
  <si>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</si>
  <si>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</si>
  <si>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</si>
  <si>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</si>
  <si>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</si>
  <si>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</si>
  <si>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</si>
  <si>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</si>
  <si>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</si>
  <si>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</si>
  <si>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</si>
  <si>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</si>
  <si>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</si>
  <si>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</si>
  <si>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</si>
  <si>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</si>
  <si>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</si>
  <si>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</si>
  <si>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</si>
  <si>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</si>
  <si>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</si>
  <si>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</si>
  <si>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</si>
  <si>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</si>
  <si>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</si>
  <si>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</si>
  <si>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</si>
  <si>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</si>
  <si>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</si>
  <si>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</si>
  <si>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</si>
  <si>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</si>
  <si>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</si>
  <si>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</si>
  <si>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</si>
  <si>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</si>
  <si>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</si>
  <si>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</si>
  <si>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</si>
  <si>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</si>
  <si>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</si>
  <si>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</si>
  <si>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</si>
  <si>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</si>
  <si>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</si>
  <si>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</si>
  <si>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</si>
  <si>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</si>
  <si>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</si>
  <si>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</si>
  <si>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</si>
  <si>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</si>
  <si>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</si>
  <si>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</si>
  <si>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</si>
  <si>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</si>
  <si>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</si>
  <si>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</si>
  <si>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</si>
  <si>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</si>
  <si>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</si>
  <si>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</si>
  <si>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</si>
  <si>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</si>
  <si>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</si>
  <si>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</si>
  <si>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</si>
  <si>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</si>
  <si>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</si>
  <si>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</si>
  <si>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</si>
  <si>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</si>
  <si>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</si>
  <si>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</si>
  <si>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</si>
  <si>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</si>
  <si>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</si>
  <si>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</si>
  <si>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</si>
  <si>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</si>
  <si>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</si>
  <si>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</si>
  <si>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</si>
  <si>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</si>
  <si>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</si>
  <si>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</si>
  <si>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</si>
  <si>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</si>
  <si>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</si>
  <si>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</si>
  <si>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</si>
  <si>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</si>
  <si>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</si>
  <si>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</si>
  <si>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</si>
  <si>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</si>
  <si>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</si>
  <si>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</si>
  <si>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</si>
  <si>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</si>
  <si>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</si>
  <si>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</si>
  <si>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</si>
  <si>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</si>
  <si>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</si>
  <si>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</si>
  <si>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</si>
  <si>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</si>
  <si>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</si>
  <si>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</si>
  <si>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</si>
  <si>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</si>
  <si>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</si>
  <si>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</si>
  <si>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</si>
  <si>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</si>
  <si>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</si>
  <si>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</si>
  <si>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</si>
  <si>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</si>
  <si>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</si>
  <si>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</si>
  <si>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</si>
  <si>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</si>
  <si>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</si>
  <si>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</si>
  <si>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</si>
  <si>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</si>
  <si>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</si>
  <si>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</si>
  <si>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</si>
  <si>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</si>
  <si>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</si>
  <si>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</si>
  <si>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</si>
  <si>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</si>
  <si>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</si>
  <si>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</si>
  <si>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</si>
  <si>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</si>
  <si>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</si>
  <si>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</si>
  <si>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</si>
  <si>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</si>
  <si>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</si>
  <si>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</si>
  <si>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</si>
  <si>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</si>
  <si>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</si>
  <si>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</si>
  <si>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</si>
  <si>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</si>
  <si>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</si>
  <si>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</si>
  <si>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</si>
  <si>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</si>
  <si>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</si>
  <si>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</si>
  <si>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</si>
  <si>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</si>
  <si>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</si>
  <si>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</si>
  <si>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</si>
  <si>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</si>
  <si>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</si>
  <si>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</si>
  <si>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</si>
  <si>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</si>
  <si>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</si>
  <si>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</si>
  <si>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</si>
  <si>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</si>
  <si>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</si>
  <si>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</si>
  <si>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</si>
  <si>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</si>
  <si>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</si>
  <si>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</si>
  <si>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</si>
  <si>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</si>
  <si>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</si>
  <si>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</si>
  <si>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</si>
  <si>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</si>
  <si>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</si>
  <si>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</si>
  <si>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</si>
  <si>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</si>
  <si>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</si>
  <si>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</si>
  <si>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</si>
  <si>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</si>
  <si>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</si>
  <si>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</si>
  <si>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</si>
  <si>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</si>
  <si>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</si>
  <si>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</si>
  <si>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</si>
  <si>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</si>
  <si>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</si>
  <si>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</si>
  <si>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</si>
  <si>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</si>
  <si>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</si>
  <si>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</si>
  <si>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</si>
  <si>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</si>
  <si>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</si>
  <si>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</si>
  <si>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</si>
  <si>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</si>
  <si>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</si>
  <si>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</si>
  <si>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</si>
  <si>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</si>
  <si>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</si>
  <si>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</si>
  <si>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</si>
  <si>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</si>
  <si>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</si>
  <si>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</si>
  <si>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</si>
  <si>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</si>
  <si>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</si>
  <si>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</si>
  <si>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</si>
  <si>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</si>
  <si>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</si>
  <si>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</si>
  <si>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</si>
  <si>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</si>
  <si>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</si>
  <si>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</si>
  <si>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</si>
  <si>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</si>
  <si>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</si>
  <si>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</si>
  <si>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</si>
  <si>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</si>
  <si>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</si>
  <si>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</si>
  <si>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</si>
  <si>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</si>
  <si>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</si>
  <si>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</si>
  <si>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</si>
  <si>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</si>
  <si>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</si>
  <si>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</si>
  <si>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</si>
  <si>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</si>
  <si>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</si>
  <si>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</si>
  <si>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</si>
  <si>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</si>
  <si>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</si>
  <si>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</si>
  <si>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</si>
  <si>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</si>
  <si>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</si>
  <si>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</si>
  <si>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</si>
  <si>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</si>
  <si>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</si>
  <si>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</si>
  <si>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</si>
  <si>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</si>
  <si>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</si>
  <si>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</si>
  <si>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</si>
  <si>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</si>
  <si>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</si>
  <si>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</si>
  <si>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</si>
  <si>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</si>
  <si>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</si>
  <si>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</si>
  <si>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</si>
  <si>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</si>
  <si>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</si>
  <si>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</si>
  <si>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</si>
  <si>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</si>
  <si>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</si>
  <si>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</si>
  <si>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</si>
  <si>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</si>
  <si>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</si>
  <si>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</si>
  <si>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</si>
  <si>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</si>
  <si>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</si>
  <si>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</si>
  <si>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</si>
  <si>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</si>
  <si>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</si>
  <si>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</si>
  <si>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</si>
  <si>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</si>
  <si>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</si>
  <si>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</si>
  <si>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</si>
  <si>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</si>
  <si>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</si>
  <si>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</si>
  <si>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</si>
  <si>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</si>
  <si>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</si>
  <si>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</si>
  <si>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</si>
  <si>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</si>
  <si>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</si>
  <si>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</si>
  <si>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</si>
  <si>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</si>
  <si>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</si>
  <si>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</si>
  <si>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</si>
  <si>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</si>
  <si>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</si>
  <si>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</si>
  <si>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</si>
  <si>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</si>
  <si>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</si>
  <si>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</si>
  <si>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</si>
  <si>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</si>
  <si>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</si>
  <si>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</si>
  <si>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</si>
  <si>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</si>
  <si>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</si>
  <si>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</si>
  <si>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</si>
  <si>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</si>
  <si>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</si>
  <si>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</si>
  <si>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</si>
  <si>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</si>
  <si>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</si>
  <si>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</si>
  <si>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</si>
  <si>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</si>
  <si>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</si>
  <si>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</si>
  <si>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</si>
  <si>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</si>
  <si>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</si>
  <si>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</si>
  <si>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</si>
  <si>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</si>
  <si>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</si>
  <si>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</si>
  <si>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</si>
  <si>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</si>
  <si>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</si>
  <si>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</si>
  <si>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</si>
  <si>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</si>
  <si>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</si>
  <si>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</si>
  <si>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</si>
  <si>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</si>
  <si>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</si>
  <si>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</si>
  <si>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</si>
  <si>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</si>
  <si>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</si>
  <si>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</si>
  <si>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</si>
  <si>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</si>
  <si>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</si>
  <si>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</si>
  <si>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</si>
  <si>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</si>
  <si>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</si>
  <si>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</si>
  <si>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</si>
  <si>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</si>
  <si>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</si>
  <si>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</si>
  <si>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</si>
  <si>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</si>
  <si>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</si>
  <si>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</si>
  <si>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</si>
  <si>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</si>
  <si>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</si>
  <si>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</si>
  <si>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</si>
  <si>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</si>
  <si>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</si>
  <si>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</si>
  <si>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</si>
  <si>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</si>
  <si>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</si>
  <si>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</si>
  <si>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</si>
  <si>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</si>
  <si>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</si>
  <si>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</si>
  <si>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</si>
  <si>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</si>
  <si>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</si>
  <si>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</si>
  <si>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</si>
  <si>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</si>
  <si>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</si>
  <si>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</si>
  <si>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</si>
  <si>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</si>
  <si>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</si>
  <si>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</si>
  <si>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</si>
  <si>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</si>
  <si>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</si>
  <si>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</si>
  <si>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</si>
  <si>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</si>
  <si>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</si>
  <si>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</si>
  <si>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</si>
  <si>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</si>
  <si>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</si>
  <si>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</si>
  <si>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</si>
  <si>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</si>
  <si>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</si>
  <si>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</si>
  <si>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</si>
  <si>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</si>
  <si>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</si>
  <si>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</si>
  <si>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</si>
  <si>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</si>
  <si>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</si>
  <si>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</si>
  <si>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</si>
  <si>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</si>
  <si>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</si>
  <si>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</si>
  <si>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</si>
  <si>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</si>
  <si>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</si>
  <si>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</si>
  <si>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</si>
  <si>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</si>
  <si>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</si>
  <si>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</si>
  <si>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</si>
  <si>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</si>
  <si>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</si>
  <si>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</si>
  <si>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</si>
  <si>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</si>
  <si>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</si>
  <si>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</si>
  <si>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</si>
  <si>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</si>
  <si>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</si>
  <si>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</si>
  <si>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</si>
  <si>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</si>
  <si>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</si>
  <si>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</si>
  <si>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</si>
  <si>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</si>
  <si>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</si>
  <si>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</si>
  <si>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</si>
  <si>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</si>
  <si>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</si>
  <si>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</si>
  <si>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</si>
  <si>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</si>
  <si>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</si>
  <si>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</si>
  <si>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</si>
  <si>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</si>
  <si>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</si>
  <si>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</si>
  <si>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</si>
  <si>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</si>
  <si>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</si>
  <si>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</si>
  <si>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</si>
  <si>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</si>
  <si>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</si>
  <si>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</si>
  <si>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</si>
  <si>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</si>
  <si>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</si>
  <si>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</si>
  <si>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</si>
  <si>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</si>
  <si>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</si>
  <si>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</si>
  <si>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</si>
  <si>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</si>
  <si>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</si>
  <si>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</si>
  <si>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</si>
  <si>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</si>
  <si>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</si>
  <si>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</si>
  <si>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</si>
  <si>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</si>
  <si>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</si>
  <si>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</si>
  <si>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</si>
  <si>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</si>
  <si>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</si>
  <si>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</si>
  <si>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</si>
  <si>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</si>
  <si>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</si>
  <si>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</si>
  <si>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</si>
  <si>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</si>
  <si>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</si>
  <si>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</si>
  <si>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</si>
  <si>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</si>
  <si>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</si>
  <si>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</si>
  <si>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</si>
  <si>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</si>
  <si>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</si>
  <si>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</si>
  <si>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</si>
  <si>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</si>
  <si>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</si>
  <si>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</si>
  <si>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</si>
  <si>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</si>
  <si>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</si>
  <si>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</si>
  <si>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</si>
  <si>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</si>
  <si>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</si>
  <si>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</si>
  <si>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</si>
  <si>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</si>
  <si>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</si>
  <si>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</si>
  <si>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</si>
  <si>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</si>
  <si>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</si>
  <si>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</si>
  <si>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</si>
  <si>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</si>
  <si>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</si>
  <si>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</si>
  <si>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</si>
  <si>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</si>
  <si>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</si>
  <si>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</si>
  <si>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</si>
  <si>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</si>
  <si>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</si>
  <si>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</si>
  <si>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</si>
  <si>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</si>
  <si>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</si>
  <si>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</si>
  <si>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</si>
  <si>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</si>
  <si>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</si>
  <si>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</si>
  <si>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</si>
  <si>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</si>
  <si>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</si>
  <si>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</si>
  <si>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</si>
  <si>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</si>
  <si>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</si>
  <si>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</si>
  <si>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</si>
  <si>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</si>
  <si>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</si>
  <si>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</si>
  <si>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</si>
  <si>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</si>
  <si>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</si>
  <si>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</si>
  <si>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</si>
  <si>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</si>
  <si>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</si>
  <si>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</si>
  <si>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</si>
  <si>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</si>
  <si>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</si>
  <si>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</si>
  <si>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</si>
  <si>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</si>
  <si>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</si>
  <si>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</si>
  <si>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</si>
  <si>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</si>
  <si>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</si>
  <si>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</si>
  <si>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</si>
  <si>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</si>
  <si>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</si>
  <si>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</si>
  <si>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</si>
  <si>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</si>
  <si>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</si>
  <si>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</si>
  <si>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</si>
  <si>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</si>
  <si>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</si>
  <si>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</si>
  <si>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</si>
  <si>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</si>
  <si>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</si>
  <si>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</si>
  <si>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</si>
  <si>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</si>
  <si>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</si>
  <si>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</si>
  <si>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</si>
  <si>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</si>
  <si>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</si>
  <si>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</si>
  <si>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</si>
  <si>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</si>
  <si>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</si>
  <si>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</si>
  <si>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</si>
  <si>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</si>
  <si>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</si>
  <si>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</si>
  <si>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</si>
  <si>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</si>
  <si>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</si>
  <si>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</si>
  <si>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</si>
  <si>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</si>
  <si>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</si>
  <si>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</si>
  <si>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</si>
  <si>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</si>
  <si>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</si>
  <si>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</si>
  <si>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</si>
  <si>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</si>
  <si>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</si>
  <si>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</si>
  <si>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</si>
  <si>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</si>
  <si>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</si>
  <si>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</si>
  <si>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</si>
  <si>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</si>
  <si>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</si>
  <si>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</si>
  <si>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</si>
  <si>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</si>
  <si>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</si>
  <si>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</si>
  <si>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</si>
  <si>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</si>
  <si>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</si>
  <si>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</si>
  <si>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</si>
  <si>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</si>
  <si>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</si>
  <si>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</si>
  <si>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</si>
  <si>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</si>
  <si>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</si>
  <si>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</si>
  <si>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</si>
  <si>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</si>
  <si>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</si>
  <si>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</si>
  <si>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</si>
  <si>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</si>
  <si>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</si>
  <si>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</si>
  <si>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</si>
  <si>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</si>
  <si>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</si>
  <si>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</si>
  <si>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</si>
  <si>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</si>
  <si>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</si>
  <si>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</si>
  <si>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</si>
  <si>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</si>
  <si>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</si>
  <si>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</si>
  <si>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</si>
  <si>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</si>
  <si>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</si>
  <si>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</si>
  <si>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</si>
  <si>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</si>
  <si>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</si>
  <si>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</si>
  <si>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</si>
  <si>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</si>
  <si>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</si>
  <si>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</si>
  <si>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</si>
  <si>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</si>
  <si>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</si>
  <si>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</si>
  <si>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</si>
  <si>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</si>
  <si>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</si>
  <si>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</si>
  <si>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</si>
  <si>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</si>
  <si>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</si>
  <si>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</si>
  <si>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</si>
  <si>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</si>
  <si>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</si>
  <si>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</si>
  <si>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</si>
  <si>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</si>
  <si>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</si>
  <si>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</si>
  <si>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</si>
  <si>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</si>
  <si>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</si>
  <si>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</si>
  <si>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</si>
  <si>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</si>
  <si>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</si>
  <si>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</si>
  <si>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</si>
  <si>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</si>
  <si>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</si>
  <si>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</si>
  <si>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</si>
  <si>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</si>
  <si>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</si>
  <si>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</si>
  <si>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</si>
  <si>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</si>
  <si>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</si>
  <si>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</si>
  <si>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</si>
  <si>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</si>
  <si>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</si>
  <si>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</si>
  <si>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</si>
  <si>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</si>
  <si>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</si>
  <si>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</si>
  <si>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</si>
  <si>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</si>
  <si>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</si>
  <si>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</si>
  <si>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</si>
  <si>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</si>
  <si>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</si>
  <si>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</si>
  <si>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</si>
  <si>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</si>
  <si>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</si>
  <si>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</si>
  <si>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</si>
  <si>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</si>
  <si>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</si>
  <si>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</si>
  <si>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</si>
  <si>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</si>
  <si>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</si>
  <si>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</si>
  <si>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</si>
  <si>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</si>
  <si>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</si>
  <si>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</si>
  <si>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</si>
  <si>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</si>
  <si>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</si>
  <si>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</si>
  <si>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</si>
  <si>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</si>
  <si>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</si>
  <si>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</si>
  <si>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</si>
  <si>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</si>
  <si>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</si>
  <si>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</si>
  <si>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</si>
  <si>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</si>
  <si>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</si>
  <si>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</si>
  <si>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</si>
  <si>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</si>
  <si>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</si>
  <si>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</si>
  <si>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</si>
  <si>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</si>
  <si>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</si>
  <si>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</si>
  <si>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</si>
  <si>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</si>
  <si>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</si>
  <si>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</si>
  <si>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</si>
  <si>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</si>
  <si>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</si>
  <si>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</si>
  <si>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</si>
  <si>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</si>
  <si>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</si>
  <si>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</si>
  <si>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</si>
  <si>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</si>
  <si>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</si>
  <si>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</si>
  <si>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</si>
  <si>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</si>
  <si>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</si>
  <si>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</si>
  <si>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</si>
  <si>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</si>
  <si>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</si>
  <si>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</si>
  <si>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</si>
  <si>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</si>
  <si>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</si>
  <si>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</si>
  <si>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</si>
  <si>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</si>
  <si>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</si>
  <si>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</si>
  <si>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</si>
  <si>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</si>
  <si>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</si>
  <si>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</si>
  <si>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</si>
  <si>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</si>
  <si>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</si>
  <si>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</si>
  <si>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</si>
  <si>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</si>
  <si>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</si>
  <si>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</si>
  <si>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</si>
  <si>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</si>
  <si>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</si>
  <si>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</si>
  <si>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</si>
  <si>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</si>
  <si>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</si>
  <si>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</si>
  <si>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</si>
  <si>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</si>
  <si>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</si>
  <si>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</si>
  <si>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</si>
  <si>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</si>
  <si>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</si>
  <si>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</si>
  <si>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</si>
  <si>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</si>
  <si>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</si>
  <si>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</si>
  <si>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</si>
  <si>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</si>
  <si>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</si>
  <si>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</si>
  <si>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</si>
  <si>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</si>
  <si>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</si>
  <si>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</si>
  <si>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</si>
  <si>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</si>
  <si>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</si>
  <si>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</si>
  <si>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</si>
  <si>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</si>
  <si>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</si>
  <si>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</si>
  <si>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</si>
  <si>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</si>
  <si>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</si>
  <si>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</si>
  <si>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</si>
  <si>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</si>
  <si>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</si>
  <si>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</si>
  <si>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</si>
  <si>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</si>
  <si>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</si>
  <si>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</si>
  <si>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</si>
  <si>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</si>
  <si>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</si>
  <si>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</si>
  <si>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</si>
  <si>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</si>
  <si>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</si>
  <si>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</si>
  <si>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</si>
  <si>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</si>
  <si>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</si>
  <si>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</si>
  <si>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</si>
  <si>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</si>
  <si>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</si>
  <si>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</si>
  <si>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</si>
  <si>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</si>
  <si>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</si>
  <si>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</si>
  <si>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</si>
  <si>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</si>
  <si>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</si>
  <si>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</si>
  <si>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</si>
  <si>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</si>
  <si>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</si>
  <si>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</si>
  <si>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</si>
  <si>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</si>
  <si>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</si>
  <si>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</si>
  <si>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</si>
  <si>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</si>
  <si>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</si>
  <si>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</si>
  <si>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</si>
  <si>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</si>
  <si>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</si>
  <si>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</si>
  <si>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</si>
  <si>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</si>
  <si>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</si>
  <si>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</si>
  <si>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</si>
  <si>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</si>
  <si>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</si>
  <si>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</si>
  <si>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</si>
  <si>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</si>
  <si>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</si>
  <si>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</si>
  <si>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</si>
  <si>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</si>
  <si>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</si>
  <si>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</si>
  <si>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</si>
  <si>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</si>
  <si>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</si>
  <si>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</si>
  <si>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</si>
  <si>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</si>
  <si>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</si>
  <si>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</si>
  <si>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</si>
  <si>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</si>
  <si>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</si>
  <si>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</si>
  <si>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</si>
  <si>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</si>
  <si>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</si>
  <si>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</si>
  <si>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</si>
  <si>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</si>
  <si>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</si>
  <si>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</si>
  <si>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</si>
  <si>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</si>
  <si>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</si>
  <si>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</si>
  <si>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</si>
  <si>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</si>
  <si>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</si>
  <si>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</si>
  <si>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</si>
  <si>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</si>
  <si>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</si>
  <si>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</si>
  <si>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</si>
  <si>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</si>
  <si>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</si>
  <si>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</si>
  <si>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</si>
  <si>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</si>
  <si>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</si>
  <si>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</si>
  <si>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</si>
  <si>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</si>
  <si>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</si>
  <si>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</si>
  <si>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</si>
  <si>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</si>
  <si>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</si>
  <si>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</si>
  <si>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</si>
  <si>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</si>
  <si>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</si>
  <si>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</si>
  <si>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</si>
  <si>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</si>
  <si>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</si>
  <si>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</si>
  <si>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</si>
  <si>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</si>
  <si>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</si>
  <si>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</si>
  <si>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</si>
  <si>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</si>
  <si>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</si>
  <si>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</si>
  <si>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</si>
  <si>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</si>
  <si>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</si>
  <si>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</si>
  <si>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</si>
  <si>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</si>
  <si>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</si>
  <si>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</si>
  <si>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</si>
  <si>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</si>
  <si>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</si>
  <si>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</si>
  <si>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</si>
  <si>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</si>
  <si>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</si>
  <si>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</si>
  <si>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</si>
  <si>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</si>
  <si>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</si>
  <si>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</si>
  <si>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</si>
  <si>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</si>
  <si>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</si>
  <si>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</si>
  <si>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</si>
  <si>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</si>
  <si>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</si>
  <si>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</si>
  <si>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</si>
  <si>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</si>
  <si>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</si>
  <si>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</si>
  <si>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</si>
  <si>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</si>
  <si>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</si>
  <si>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</si>
  <si>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</si>
  <si>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</si>
  <si>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</si>
  <si>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</si>
  <si>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</si>
  <si>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</si>
  <si>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</si>
  <si>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</si>
  <si>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</si>
  <si>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</si>
  <si>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</si>
  <si>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</si>
  <si>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</si>
  <si>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</si>
  <si>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</si>
  <si>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</si>
  <si>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</si>
  <si>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</si>
  <si>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</si>
  <si>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</si>
  <si>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</si>
  <si>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</si>
  <si>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</si>
  <si>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</si>
  <si>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</si>
  <si>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</si>
  <si>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</si>
  <si>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</si>
  <si>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</si>
  <si>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</si>
  <si>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</si>
  <si>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</si>
  <si>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</si>
  <si>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</si>
  <si>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</si>
  <si>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</si>
  <si>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</si>
  <si>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</si>
  <si>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</si>
  <si>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</si>
  <si>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</si>
  <si>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</si>
  <si>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</si>
  <si>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</si>
  <si>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</si>
  <si>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</si>
  <si>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</si>
  <si>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</si>
  <si>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</si>
  <si>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</si>
  <si>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</si>
  <si>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</si>
  <si>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</si>
  <si>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</si>
  <si>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</si>
  <si>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</si>
  <si>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</si>
  <si>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</si>
  <si>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</si>
  <si>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</si>
  <si>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</si>
  <si>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</si>
  <si>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</si>
  <si>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</si>
  <si>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</si>
  <si>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</si>
  <si>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</si>
  <si>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</si>
  <si>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</si>
  <si>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</si>
  <si>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</si>
  <si>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</si>
  <si>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</si>
  <si>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</si>
  <si>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</si>
  <si>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</si>
  <si>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</si>
  <si>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</si>
  <si>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</si>
  <si>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</si>
  <si>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</si>
  <si>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</si>
  <si>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</si>
  <si>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</si>
  <si>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</si>
  <si>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</si>
  <si>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</si>
  <si>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</si>
  <si>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</si>
  <si>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</si>
  <si>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</si>
  <si>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</si>
  <si>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</si>
  <si>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</si>
  <si>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</si>
  <si>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</si>
  <si>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</si>
  <si>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</si>
  <si>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</si>
  <si>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</si>
  <si>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</si>
  <si>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</si>
  <si>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</si>
  <si>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</si>
  <si>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</si>
  <si>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</si>
  <si>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</si>
  <si>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</si>
  <si>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</si>
  <si>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</si>
  <si>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</si>
  <si>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</si>
  <si>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</si>
  <si>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</si>
  <si>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</si>
  <si>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</si>
  <si>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</si>
  <si>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</si>
  <si>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</si>
  <si>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</si>
  <si>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</si>
  <si>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</si>
  <si>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</si>
  <si>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</si>
  <si>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</si>
  <si>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</si>
  <si>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</si>
  <si>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</si>
  <si>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</si>
  <si>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</si>
  <si>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</si>
  <si>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</si>
  <si>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</si>
  <si>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</si>
  <si>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</si>
  <si>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</si>
  <si>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</si>
  <si>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</si>
  <si>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</si>
  <si>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</si>
  <si>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</si>
  <si>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</si>
  <si>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</si>
  <si>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</si>
  <si>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</si>
  <si>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</si>
  <si>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</si>
  <si>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</si>
  <si>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</si>
  <si>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</si>
  <si>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</si>
  <si>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</si>
  <si>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</si>
  <si>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</si>
  <si>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</si>
  <si>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</si>
  <si>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</si>
  <si>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</si>
  <si>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</si>
  <si>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</si>
  <si>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</si>
  <si>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</si>
  <si>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</si>
  <si>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</si>
  <si>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</si>
  <si>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</si>
  <si>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</si>
  <si>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</si>
  <si>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</si>
  <si>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</si>
  <si>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</si>
  <si>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</si>
  <si>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</si>
  <si>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</si>
  <si>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</si>
  <si>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</si>
  <si>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</si>
  <si>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</si>
  <si>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</si>
  <si>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</si>
  <si>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</si>
  <si>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</si>
  <si>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</si>
  <si>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</si>
  <si>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</si>
  <si>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</si>
  <si>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</si>
  <si>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</si>
  <si>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</si>
  <si>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</si>
  <si>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</si>
  <si>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</si>
  <si>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</si>
  <si>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</si>
  <si>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</si>
  <si>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</si>
  <si>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</si>
  <si>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</si>
  <si>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</si>
  <si>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</si>
  <si>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</si>
  <si>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</si>
  <si>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</si>
  <si>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</si>
  <si>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</si>
  <si>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</si>
  <si>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</si>
  <si>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</si>
  <si>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</si>
  <si>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</si>
  <si>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</si>
  <si>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</si>
  <si>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</si>
  <si>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</si>
  <si>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</si>
  <si>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</si>
  <si>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</si>
  <si>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</si>
  <si>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</si>
  <si>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</si>
  <si>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</si>
  <si>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</si>
  <si>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</si>
  <si>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</si>
  <si>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</si>
  <si>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</si>
  <si>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</si>
  <si>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</si>
  <si>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</si>
  <si>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</si>
  <si>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</si>
  <si>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</si>
  <si>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</si>
  <si>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</si>
  <si>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</si>
  <si>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</si>
  <si>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</si>
  <si>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</si>
  <si>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</si>
  <si>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</si>
  <si>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</si>
  <si>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</si>
  <si>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</si>
  <si>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</si>
  <si>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</si>
  <si>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</si>
  <si>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</si>
  <si>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</si>
  <si>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</si>
  <si>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</si>
  <si>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</si>
  <si>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</si>
  <si>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</si>
  <si>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</si>
  <si>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</si>
  <si>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</si>
  <si>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</si>
  <si>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</si>
  <si>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</si>
  <si>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</si>
  <si>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</si>
  <si>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</si>
  <si>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</si>
  <si>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</si>
  <si>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</si>
  <si>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</si>
  <si>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</si>
  <si>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</si>
  <si>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</si>
  <si>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</si>
  <si>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</si>
  <si>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</si>
  <si>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</si>
  <si>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</si>
  <si>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</si>
  <si>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</si>
  <si>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</si>
  <si>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</si>
  <si>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</si>
  <si>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</si>
  <si>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</si>
  <si>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</si>
  <si>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</si>
  <si>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</si>
  <si>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</si>
  <si>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</si>
  <si>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</si>
  <si>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</si>
  <si>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</si>
  <si>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</si>
  <si>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</si>
  <si>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</si>
  <si>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</si>
  <si>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</si>
  <si>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</si>
  <si>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</si>
  <si>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</si>
  <si>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</si>
  <si>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</si>
  <si>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</si>
  <si>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</si>
  <si>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</si>
  <si>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</si>
  <si>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</si>
  <si>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</si>
  <si>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</si>
  <si>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</si>
  <si>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</si>
  <si>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</si>
  <si>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</si>
  <si>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</si>
  <si>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</si>
  <si>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</si>
  <si>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</si>
  <si>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</si>
  <si>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</si>
  <si>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</si>
  <si>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</si>
  <si>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</si>
  <si>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</si>
  <si>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</si>
  <si>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</si>
  <si>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</si>
  <si>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</si>
  <si>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</si>
  <si>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</si>
  <si>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</si>
  <si>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</si>
  <si>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</si>
  <si>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</si>
  <si>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</si>
  <si>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</si>
  <si>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</si>
  <si>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</si>
  <si>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</si>
  <si>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</si>
  <si>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</si>
  <si>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</si>
  <si>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</si>
  <si>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</si>
  <si>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</si>
  <si>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</si>
  <si>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</si>
  <si>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</si>
  <si>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</si>
  <si>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</si>
  <si>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</si>
  <si>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</si>
  <si>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</si>
  <si>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</si>
  <si>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</si>
  <si>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</si>
  <si>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</si>
  <si>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</si>
  <si>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</si>
  <si>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</si>
  <si>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</si>
  <si>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</si>
  <si>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</si>
  <si>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</si>
  <si>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</si>
  <si>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</si>
  <si>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</si>
  <si>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</si>
  <si>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</si>
  <si>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</si>
  <si>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</si>
  <si>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</si>
  <si>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</si>
  <si>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</si>
  <si>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</si>
  <si>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</si>
  <si>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</si>
  <si>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</si>
  <si>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</si>
  <si>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</si>
  <si>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</si>
  <si>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</si>
  <si>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</si>
  <si>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</si>
  <si>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</si>
  <si>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</si>
  <si>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</si>
  <si>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</si>
  <si>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</si>
  <si>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</si>
  <si>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</si>
  <si>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</si>
  <si>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</si>
  <si>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</si>
  <si>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</si>
  <si>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</si>
  <si>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</si>
  <si>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</si>
  <si>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</si>
  <si>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</si>
  <si>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</si>
  <si>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</si>
  <si>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</si>
  <si>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</si>
  <si>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</si>
  <si>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</si>
  <si>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</si>
  <si>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</si>
  <si>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</si>
  <si>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</si>
  <si>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</si>
  <si>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</si>
  <si>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</si>
  <si>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</si>
  <si>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</si>
  <si>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</si>
  <si>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</si>
  <si>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</si>
  <si>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</si>
  <si>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</si>
  <si>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</si>
  <si>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</si>
  <si>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</si>
  <si>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</si>
  <si>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</si>
  <si>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</si>
  <si>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</si>
  <si>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</si>
  <si>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</si>
  <si>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</si>
  <si>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</si>
  <si>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</si>
  <si>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</si>
  <si>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</si>
  <si>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</si>
  <si>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</si>
  <si>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</si>
  <si>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</si>
  <si>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</si>
  <si>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</si>
  <si>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</si>
  <si>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</si>
  <si>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</si>
  <si>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</si>
  <si>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</si>
  <si>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</si>
  <si>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</si>
  <si>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</si>
  <si>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</si>
  <si>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</si>
  <si>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</si>
  <si>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</si>
  <si>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</si>
  <si>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</si>
  <si>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</si>
  <si>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</si>
  <si>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</si>
  <si>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</si>
  <si>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</si>
  <si>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</si>
  <si>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</si>
  <si>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</si>
  <si>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</si>
  <si>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</si>
  <si>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</si>
  <si>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</si>
  <si>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</si>
  <si>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</si>
  <si>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</si>
  <si>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</si>
  <si>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</si>
  <si>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</si>
  <si>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</si>
  <si>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</si>
  <si>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</si>
  <si>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</si>
  <si>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</si>
  <si>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</si>
  <si>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</si>
  <si>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</si>
  <si>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</si>
  <si>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</si>
  <si>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</si>
  <si>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</si>
  <si>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</si>
  <si>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</si>
  <si>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</si>
  <si>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</si>
  <si>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</si>
  <si>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</si>
  <si>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</si>
  <si>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</si>
  <si>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</si>
  <si>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</si>
  <si>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</si>
  <si>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</si>
  <si>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</si>
  <si>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</si>
  <si>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</si>
  <si>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</si>
  <si>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</si>
  <si>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</si>
  <si>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</si>
  <si>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</si>
  <si>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</si>
  <si>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</si>
  <si>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</si>
  <si>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</si>
  <si>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</si>
  <si>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</si>
  <si>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</si>
  <si>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</si>
  <si>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</si>
  <si>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</si>
  <si>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</si>
  <si>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</si>
  <si>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</si>
  <si>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</si>
  <si>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</si>
  <si>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</si>
  <si>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</si>
  <si>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</si>
  <si>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</si>
  <si>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</si>
  <si>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</si>
  <si>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</si>
  <si>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</si>
  <si>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</si>
  <si>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</si>
  <si>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</si>
  <si>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</si>
  <si>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</si>
  <si>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</si>
  <si>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</si>
  <si>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</si>
  <si>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</si>
  <si>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</si>
  <si>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</si>
  <si>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</si>
  <si>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</si>
  <si>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</si>
  <si>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</si>
  <si>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</si>
  <si>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</si>
  <si>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</si>
  <si>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</si>
  <si>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</si>
  <si>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</si>
  <si>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</si>
  <si>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</si>
  <si>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</si>
  <si>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</si>
  <si>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</si>
  <si>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</si>
  <si>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</si>
  <si>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</si>
  <si>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</si>
  <si>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</si>
  <si>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</si>
  <si>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</si>
  <si>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</si>
  <si>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</si>
  <si>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</si>
  <si>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</si>
  <si>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</si>
  <si>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</si>
  <si>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</si>
  <si>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</si>
  <si>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</si>
  <si>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</si>
  <si>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</si>
  <si>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</si>
  <si>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</si>
  <si>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</si>
  <si>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</si>
  <si>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</si>
  <si>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</si>
  <si>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</si>
  <si>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</si>
  <si>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</si>
  <si>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</si>
  <si>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</si>
  <si>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</si>
  <si>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</si>
  <si>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</si>
  <si>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</si>
  <si>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</si>
  <si>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</si>
  <si>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</si>
  <si>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</si>
  <si>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</si>
  <si>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</si>
  <si>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</si>
  <si>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</si>
  <si>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</si>
  <si>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</si>
  <si>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</si>
  <si>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</si>
  <si>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</si>
  <si>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</si>
  <si>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</si>
  <si>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</si>
  <si>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</si>
  <si>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</si>
  <si>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</si>
  <si>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</si>
  <si>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</si>
  <si>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</si>
  <si>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</si>
  <si>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</si>
  <si>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</si>
  <si>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</si>
  <si>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</si>
  <si>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</si>
  <si>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</si>
  <si>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</si>
  <si>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</si>
  <si>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</si>
  <si>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</si>
  <si>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</si>
  <si>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</si>
  <si>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</si>
  <si>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</si>
  <si>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</si>
  <si>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</si>
  <si>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</si>
  <si>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</si>
  <si>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</si>
  <si>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</si>
  <si>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</si>
  <si>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</si>
  <si>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</si>
  <si>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</si>
  <si>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</si>
  <si>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</si>
  <si>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</si>
  <si>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</si>
  <si>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</si>
  <si>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</si>
  <si>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</si>
  <si>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</si>
  <si>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</si>
  <si>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</si>
  <si>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</si>
  <si>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</si>
  <si>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</si>
  <si>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</si>
  <si>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</si>
  <si>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</si>
  <si>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</si>
  <si>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</si>
  <si>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</si>
  <si>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</si>
  <si>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</si>
  <si>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</si>
  <si>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</si>
  <si>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</si>
  <si>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</si>
  <si>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</si>
  <si>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</si>
  <si>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</si>
  <si>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</si>
  <si>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</si>
  <si>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</si>
  <si>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</si>
  <si>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</si>
  <si>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</si>
  <si>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</si>
  <si>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</si>
  <si>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</si>
  <si>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</si>
  <si>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</si>
  <si>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</si>
  <si>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</si>
  <si>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</si>
  <si>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</si>
  <si>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</si>
  <si>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</si>
  <si>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</si>
  <si>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</si>
  <si>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</si>
  <si>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</si>
  <si>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</si>
  <si>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</si>
  <si>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</si>
  <si>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</si>
  <si>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</si>
  <si>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</si>
  <si>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</si>
  <si>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</si>
  <si>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</si>
  <si>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</si>
  <si>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</si>
  <si>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</si>
  <si>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</si>
  <si>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</si>
  <si>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</si>
  <si>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</si>
  <si>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</si>
  <si>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</si>
  <si>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</si>
  <si>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</si>
  <si>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</si>
  <si>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</si>
  <si>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</si>
  <si>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</si>
  <si>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</si>
  <si>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</si>
  <si>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</si>
  <si>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</si>
  <si>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</si>
  <si>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</si>
  <si>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</si>
  <si>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</si>
  <si>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</si>
  <si>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</si>
  <si>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</si>
  <si>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</si>
  <si>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</si>
  <si>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</si>
  <si>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</si>
  <si>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</si>
  <si>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</si>
  <si>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</si>
  <si>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</si>
  <si>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</si>
  <si>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</si>
  <si>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</si>
  <si>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</si>
  <si>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</si>
  <si>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</si>
  <si>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</si>
  <si>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</si>
  <si>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</si>
  <si>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</si>
  <si>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</si>
  <si>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</si>
  <si>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</si>
  <si>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</si>
  <si>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</si>
  <si>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</si>
  <si>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</si>
  <si>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</si>
  <si>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</si>
  <si>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</si>
  <si>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</si>
  <si>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</si>
  <si>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</si>
  <si>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</si>
  <si>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</si>
  <si>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</si>
  <si>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</si>
  <si>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</si>
  <si>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</si>
  <si>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</si>
  <si>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</si>
  <si>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</si>
  <si>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</si>
  <si>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</si>
  <si>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</si>
  <si>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</si>
  <si>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</si>
  <si>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</si>
  <si>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</si>
  <si>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</si>
  <si>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</si>
  <si>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</si>
  <si>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</si>
  <si>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</si>
  <si>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</si>
  <si>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</si>
  <si>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</si>
  <si>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</si>
  <si>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</si>
  <si>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</si>
  <si>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</si>
  <si>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</si>
  <si>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</si>
  <si>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</si>
  <si>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</si>
  <si>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</si>
  <si>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</si>
  <si>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</si>
  <si>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</si>
  <si>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</si>
  <si>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</si>
  <si>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</si>
  <si>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</si>
  <si>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</si>
  <si>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</si>
  <si>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</si>
  <si>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</si>
  <si>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</si>
  <si>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</si>
  <si>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</si>
  <si>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</si>
  <si>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</si>
  <si>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</si>
  <si>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</si>
  <si>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</si>
  <si>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</si>
  <si>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</si>
  <si>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</si>
  <si>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</si>
  <si>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</si>
  <si>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</si>
  <si>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</si>
  <si>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</si>
  <si>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</si>
  <si>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</si>
  <si>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</si>
  <si>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</si>
  <si>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</si>
  <si>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</si>
  <si>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</si>
  <si>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</si>
  <si>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</si>
  <si>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</si>
  <si>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</si>
  <si>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</si>
  <si>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</si>
  <si>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</si>
  <si>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</si>
  <si>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</si>
  <si>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</si>
  <si>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</si>
  <si>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</si>
  <si>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</si>
  <si>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</si>
  <si>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</si>
  <si>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</si>
  <si>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</si>
  <si>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</si>
  <si>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</si>
  <si>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</si>
  <si>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</si>
  <si>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</si>
  <si>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</si>
  <si>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</si>
  <si>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</si>
  <si>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</si>
  <si>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</si>
  <si>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</si>
  <si>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</si>
  <si>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</si>
  <si>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</si>
  <si>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</si>
  <si>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</si>
  <si>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</si>
  <si>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</si>
  <si>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</si>
  <si>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</si>
  <si>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</si>
  <si>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</si>
  <si>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</si>
  <si>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</si>
  <si>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</si>
  <si>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</si>
  <si>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</si>
  <si>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</si>
  <si>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</si>
  <si>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</si>
  <si>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</si>
  <si>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</si>
  <si>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</si>
  <si>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</si>
  <si>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</si>
  <si>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</si>
  <si>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</si>
  <si>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</si>
  <si>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</si>
  <si>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</si>
  <si>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</si>
  <si>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</si>
  <si>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</si>
  <si>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</si>
  <si>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</si>
  <si>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</si>
  <si>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</si>
  <si>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</si>
  <si>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</si>
  <si>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</si>
  <si>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</si>
  <si>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</si>
  <si>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</si>
  <si>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</si>
  <si>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</si>
  <si>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</si>
  <si>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</si>
  <si>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</si>
  <si>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</si>
  <si>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</si>
  <si>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</si>
  <si>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</si>
  <si>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</si>
  <si>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</si>
  <si>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</si>
  <si>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</si>
  <si>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</si>
  <si>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</si>
  <si>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</si>
  <si>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</si>
  <si>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</si>
  <si>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</si>
  <si>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</si>
  <si>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</si>
  <si>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</si>
  <si>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</si>
  <si>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</si>
  <si>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</si>
  <si>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</si>
  <si>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</si>
  <si>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</si>
  <si>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</si>
  <si>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</si>
  <si>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</si>
  <si>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</si>
  <si>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</si>
  <si>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</si>
  <si>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</si>
  <si>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</si>
  <si>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</si>
  <si>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</si>
  <si>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</si>
  <si>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</si>
  <si>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</si>
  <si>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</si>
  <si>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</si>
  <si>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</si>
  <si>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</si>
  <si>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</si>
  <si>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</si>
  <si>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</si>
  <si>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</si>
  <si>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</si>
  <si>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</si>
  <si>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</si>
  <si>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</si>
  <si>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</si>
  <si>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</si>
  <si>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</si>
  <si>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</si>
  <si>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</si>
  <si>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</si>
  <si>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</si>
  <si>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</si>
  <si>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</si>
  <si>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</si>
  <si>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</si>
  <si>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</si>
  <si>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</si>
  <si>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</si>
  <si>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</si>
  <si>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</si>
  <si>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</si>
  <si>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</si>
  <si>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</si>
  <si>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</si>
  <si>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</si>
  <si>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</si>
  <si>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</si>
  <si>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</si>
  <si>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</si>
  <si>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</si>
  <si>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</si>
  <si>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</si>
  <si>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</si>
  <si>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</si>
  <si>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</si>
  <si>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</si>
  <si>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</si>
  <si>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</si>
  <si>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</si>
  <si>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</si>
  <si>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</si>
  <si>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</si>
  <si>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</si>
  <si>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</si>
  <si>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</si>
  <si>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</si>
  <si>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</si>
  <si>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</si>
  <si>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</si>
  <si>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</si>
  <si>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</si>
  <si>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</si>
  <si>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</si>
  <si>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</si>
  <si>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</si>
  <si>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</si>
  <si>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</si>
  <si>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</si>
  <si>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</si>
  <si>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</si>
  <si>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</si>
  <si>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</si>
  <si>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</si>
  <si>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</si>
  <si>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</si>
  <si>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</si>
  <si>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</si>
  <si>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</si>
  <si>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</si>
  <si>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</si>
  <si>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</si>
  <si>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</si>
  <si>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</si>
  <si>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</si>
  <si>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</si>
  <si>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</si>
  <si>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</si>
  <si>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</si>
  <si>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</si>
  <si>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</si>
  <si>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</si>
  <si>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</si>
  <si>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</si>
  <si>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</si>
  <si>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</si>
  <si>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</si>
  <si>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</si>
  <si>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</si>
  <si>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</si>
  <si>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</si>
  <si>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</si>
  <si>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</si>
  <si>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</si>
  <si>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</si>
  <si>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</si>
  <si>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</si>
  <si>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</si>
  <si>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</si>
  <si>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</si>
  <si>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</si>
  <si>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</si>
  <si>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</si>
  <si>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</si>
  <si>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</si>
  <si>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</si>
  <si>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</si>
  <si>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</si>
  <si>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</si>
  <si>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</si>
  <si>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</si>
  <si>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</si>
  <si>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</si>
  <si>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</si>
  <si>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</si>
  <si>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</si>
  <si>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</si>
  <si>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</si>
  <si>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</si>
  <si>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</si>
  <si>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</si>
  <si>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</si>
  <si>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</si>
  <si>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</si>
  <si>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</si>
  <si>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</si>
  <si>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</si>
  <si>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</si>
  <si>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</si>
  <si>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</si>
  <si>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</si>
  <si>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</si>
  <si>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</si>
  <si>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</si>
  <si>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</si>
  <si>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</si>
  <si>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</si>
  <si>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</si>
  <si>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</si>
  <si>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</si>
  <si>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</si>
  <si>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</si>
  <si>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</si>
  <si>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</si>
  <si>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</si>
  <si>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</si>
  <si>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</si>
  <si>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</si>
  <si>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</si>
  <si>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</si>
  <si>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</si>
  <si>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</si>
  <si>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</si>
  <si>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</si>
  <si>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</si>
  <si>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</si>
  <si>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</si>
  <si>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</si>
  <si>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</si>
  <si>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</si>
  <si>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</si>
  <si>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</si>
  <si>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</si>
  <si>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</si>
  <si>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</si>
  <si>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</si>
  <si>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</si>
  <si>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</si>
  <si>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</si>
  <si>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</si>
  <si>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</si>
  <si>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</si>
  <si>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</si>
  <si>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</si>
  <si>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</si>
  <si>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</si>
  <si>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</si>
  <si>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</si>
  <si>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</si>
  <si>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</si>
  <si>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</si>
  <si>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</si>
  <si>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</si>
  <si>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</si>
  <si>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</si>
  <si>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</si>
  <si>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</si>
  <si>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</si>
  <si>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</si>
  <si>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</si>
  <si>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</si>
  <si>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</si>
  <si>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</si>
  <si>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</si>
  <si>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</si>
  <si>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</si>
  <si>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</si>
  <si>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</si>
  <si>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</si>
  <si>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</si>
  <si>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</si>
  <si>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</si>
  <si>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</si>
  <si>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</si>
  <si>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</si>
  <si>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</si>
  <si>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</si>
  <si>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</si>
  <si>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</si>
  <si>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</si>
  <si>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</si>
  <si>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</si>
  <si>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</si>
  <si>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</si>
  <si>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</si>
  <si>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</si>
  <si>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</si>
  <si>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</si>
  <si>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</si>
  <si>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</si>
  <si>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</si>
  <si>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</si>
  <si>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</si>
  <si>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</si>
  <si>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</si>
  <si>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</si>
  <si>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</si>
  <si>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</si>
  <si>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</si>
  <si>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</si>
  <si>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</si>
  <si>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</si>
  <si>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</si>
  <si>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</si>
  <si>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</si>
  <si>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</si>
  <si>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</si>
  <si>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</si>
  <si>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</si>
  <si>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</si>
  <si>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</si>
  <si>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</si>
  <si>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</si>
  <si>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</si>
  <si>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</si>
  <si>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</si>
  <si>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</si>
  <si>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</si>
  <si>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</si>
  <si>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</si>
  <si>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</si>
  <si>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</si>
  <si>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</si>
  <si>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</si>
  <si>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</si>
  <si>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</si>
  <si>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</si>
  <si>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</si>
  <si>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</si>
  <si>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</si>
  <si>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</si>
  <si>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</si>
  <si>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</si>
  <si>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</si>
  <si>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</si>
  <si>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</si>
  <si>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</si>
  <si>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</si>
  <si>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</si>
  <si>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</si>
  <si>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</si>
  <si>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</si>
  <si>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</si>
  <si>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</si>
  <si>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</si>
  <si>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</si>
  <si>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</si>
  <si>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</si>
  <si>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</si>
  <si>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</si>
  <si>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</si>
  <si>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</si>
  <si>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</si>
  <si>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</si>
  <si>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</si>
  <si>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</si>
  <si>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</si>
  <si>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</si>
  <si>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</si>
  <si>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</si>
  <si>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</si>
  <si>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</si>
  <si>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</si>
  <si>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</si>
  <si>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</si>
  <si>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</si>
  <si>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</si>
  <si>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</si>
  <si>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</si>
  <si>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</si>
  <si>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</si>
  <si>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</si>
  <si>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</si>
  <si>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</si>
  <si>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</si>
  <si>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</si>
  <si>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</si>
  <si>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</si>
  <si>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</si>
  <si>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</si>
  <si>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</si>
  <si>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</si>
  <si>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</si>
  <si>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</si>
  <si>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</si>
  <si>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</si>
  <si>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</si>
  <si>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</si>
  <si>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</si>
  <si>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</si>
  <si>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</si>
  <si>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</si>
  <si>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</si>
  <si>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</si>
  <si>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</si>
  <si>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</si>
  <si>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</si>
  <si>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</si>
  <si>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</si>
  <si>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</si>
  <si>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</si>
  <si>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</si>
  <si>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</si>
  <si>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</si>
  <si>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</si>
  <si>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</si>
  <si>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</si>
  <si>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</si>
  <si>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</si>
  <si>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</si>
  <si>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</si>
  <si>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</si>
  <si>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</si>
  <si>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</si>
  <si>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</si>
  <si>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</si>
  <si>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</si>
  <si>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</si>
  <si>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</si>
  <si>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</si>
  <si>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</si>
  <si>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</si>
  <si>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</si>
  <si>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</si>
  <si>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</si>
  <si>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</si>
  <si>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</si>
  <si>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</si>
  <si>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</si>
  <si>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</si>
  <si>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</si>
  <si>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</si>
  <si>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</si>
  <si>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</si>
  <si>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</si>
  <si>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</si>
  <si>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</si>
  <si>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</si>
  <si>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</si>
  <si>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</si>
  <si>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</si>
  <si>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</si>
  <si>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</si>
  <si>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</si>
  <si>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</si>
  <si>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</si>
  <si>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</si>
  <si>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</si>
  <si>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</si>
  <si>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</si>
  <si>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</si>
  <si>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</si>
  <si>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</si>
  <si>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</si>
  <si>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</si>
  <si>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</si>
  <si>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</si>
  <si>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</si>
  <si>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</si>
  <si>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</si>
  <si>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</si>
  <si>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</si>
  <si>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</si>
  <si>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</si>
  <si>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</si>
  <si>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</si>
  <si>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</si>
  <si>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</si>
  <si>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</si>
  <si>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</si>
  <si>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</si>
  <si>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</si>
  <si>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</si>
  <si>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</si>
  <si>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</si>
  <si>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</si>
  <si>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</si>
  <si>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</si>
  <si>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</si>
  <si>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</si>
  <si>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</si>
  <si>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</si>
  <si>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</si>
  <si>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</si>
  <si>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</si>
  <si>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</si>
  <si>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</si>
  <si>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</si>
  <si>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</si>
  <si>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</si>
  <si>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</si>
  <si>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</si>
  <si>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</si>
  <si>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</si>
  <si>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</si>
  <si>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</si>
  <si>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</si>
  <si>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</si>
  <si>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</si>
  <si>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</si>
  <si>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</si>
  <si>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</si>
  <si>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</si>
  <si>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</si>
  <si>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</si>
  <si>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</si>
  <si>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</si>
  <si>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</si>
  <si>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</si>
  <si>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</si>
  <si>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</si>
  <si>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</si>
  <si>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</si>
  <si>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</si>
  <si>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</si>
  <si>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</si>
  <si>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</si>
  <si>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</si>
  <si>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</si>
  <si>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</si>
  <si>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</si>
  <si>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</si>
  <si>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</si>
  <si>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</si>
  <si>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</si>
  <si>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</si>
  <si>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</si>
  <si>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</si>
  <si>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</si>
  <si>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</si>
  <si>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</si>
  <si>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</si>
  <si>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</si>
  <si>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</si>
  <si>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</si>
  <si>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</si>
  <si>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</si>
  <si>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</si>
  <si>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</si>
  <si>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</si>
  <si>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</si>
  <si>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</si>
  <si>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</si>
  <si>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</si>
  <si>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</si>
  <si>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</si>
  <si>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</si>
  <si>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</si>
  <si>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</si>
  <si>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</si>
  <si>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</si>
  <si>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</si>
  <si>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</si>
  <si>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</si>
  <si>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</si>
  <si>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</si>
  <si>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</si>
  <si>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</si>
  <si>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</si>
  <si>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</si>
  <si>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</si>
  <si>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</si>
  <si>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</si>
  <si>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</si>
  <si>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</si>
  <si>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</si>
  <si>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</si>
  <si>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</si>
  <si>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</si>
  <si>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</si>
  <si>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</si>
  <si>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</si>
  <si>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</si>
  <si>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</si>
  <si>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</si>
  <si>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</si>
  <si>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</si>
  <si>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</si>
  <si>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</si>
  <si>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</si>
  <si>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</si>
  <si>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</si>
  <si>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</si>
  <si>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</si>
  <si>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</si>
  <si>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</si>
  <si>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</si>
  <si>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</si>
  <si>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</si>
  <si>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</si>
  <si>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</si>
  <si>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</si>
  <si>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</si>
  <si>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</si>
  <si>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</si>
  <si>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</si>
  <si>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</si>
  <si>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</si>
  <si>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</si>
  <si>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</si>
  <si>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</si>
  <si>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</si>
  <si>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</si>
  <si>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</si>
  <si>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</si>
  <si>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</si>
  <si>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</si>
  <si>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</si>
  <si>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</si>
  <si>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</si>
  <si>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</si>
  <si>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</si>
  <si>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</si>
  <si>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</si>
  <si>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</si>
  <si>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</si>
  <si>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</si>
  <si>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</si>
  <si>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</si>
  <si>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</si>
  <si>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</si>
  <si>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</si>
  <si>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</si>
  <si>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</si>
  <si>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</si>
  <si>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</si>
  <si>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</si>
  <si>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</si>
  <si>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</si>
  <si>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</si>
  <si>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</si>
  <si>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</si>
  <si>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</si>
  <si>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</si>
  <si>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</si>
  <si>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</si>
  <si>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</si>
  <si>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</si>
  <si>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</si>
  <si>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</si>
  <si>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</si>
  <si>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</si>
  <si>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</si>
  <si>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</si>
  <si>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</si>
  <si>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</si>
  <si>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</si>
  <si>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</si>
  <si>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</si>
  <si>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</si>
  <si>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</si>
  <si>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</si>
  <si>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</si>
  <si>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</si>
  <si>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</si>
  <si>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</si>
  <si>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</si>
  <si>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</si>
  <si>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</si>
  <si>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</si>
  <si>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</si>
  <si>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</si>
  <si>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</si>
  <si>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</si>
  <si>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</si>
  <si>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</si>
  <si>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</si>
  <si>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</si>
  <si>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</si>
  <si>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</si>
  <si>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</si>
  <si>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</si>
  <si>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</si>
  <si>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</si>
  <si>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</si>
  <si>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</si>
  <si>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</si>
  <si>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</si>
  <si>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</si>
  <si>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</si>
  <si>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</si>
  <si>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</si>
  <si>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</si>
  <si>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</si>
  <si>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</si>
  <si>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</si>
  <si>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</si>
  <si>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</si>
  <si>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</si>
  <si>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</si>
  <si>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</si>
  <si>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</si>
  <si>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</si>
  <si>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</si>
  <si>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</si>
  <si>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</si>
  <si>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</si>
  <si>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</si>
  <si>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</si>
  <si>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</si>
  <si>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</si>
  <si>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</si>
  <si>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</si>
  <si>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</si>
  <si>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</si>
  <si>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</si>
  <si>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</si>
  <si>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</si>
  <si>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</si>
  <si>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</si>
  <si>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</si>
  <si>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</si>
  <si>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</si>
  <si>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</si>
  <si>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</si>
  <si>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</si>
  <si>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</si>
  <si>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</si>
  <si>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</si>
  <si>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</si>
  <si>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</si>
  <si>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</si>
  <si>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</si>
  <si>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</si>
  <si>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</si>
  <si>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</si>
  <si>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</si>
  <si>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</si>
  <si>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</si>
  <si>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</si>
  <si>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</si>
  <si>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</si>
  <si>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</si>
  <si>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</si>
  <si>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</si>
  <si>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</si>
  <si>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</si>
  <si>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</si>
  <si>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</si>
  <si>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</si>
  <si>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</si>
  <si>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</si>
  <si>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</si>
  <si>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</si>
  <si>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</si>
  <si>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</si>
  <si>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</si>
  <si>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</si>
  <si>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</si>
  <si>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</si>
  <si>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</si>
  <si>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</si>
  <si>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</si>
  <si>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</si>
  <si>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</si>
  <si>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</si>
  <si>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</si>
  <si>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</si>
  <si>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</si>
  <si>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</si>
  <si>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</si>
  <si>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</si>
  <si>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</si>
  <si>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</si>
  <si>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</si>
  <si>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</si>
  <si>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</si>
  <si>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</si>
  <si>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</si>
  <si>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</si>
  <si>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</si>
  <si>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</si>
  <si>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</si>
  <si>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</si>
  <si>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</si>
  <si>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</si>
  <si>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</si>
  <si>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</si>
  <si>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</si>
  <si>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</si>
  <si>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</si>
  <si>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</si>
  <si>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</si>
  <si>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</si>
  <si>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</si>
  <si>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</si>
  <si>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</si>
  <si>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</si>
  <si>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</si>
  <si>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</si>
  <si>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</si>
  <si>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</si>
  <si>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</si>
  <si>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</si>
  <si>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</si>
  <si>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</si>
  <si>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</si>
  <si>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</si>
  <si>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</si>
  <si>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</si>
  <si>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</si>
  <si>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</si>
  <si>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</si>
  <si>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</si>
  <si>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</si>
  <si>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</si>
  <si>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</si>
  <si>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</si>
  <si>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</si>
  <si>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</si>
  <si>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</si>
  <si>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</si>
  <si>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</si>
  <si>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</si>
  <si>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</si>
  <si>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</si>
  <si>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</si>
  <si>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</si>
  <si>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</si>
  <si>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</si>
  <si>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</si>
  <si>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</si>
  <si>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</si>
  <si>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</si>
  <si>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</si>
  <si>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</si>
  <si>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</si>
  <si>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</si>
  <si>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</si>
  <si>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</si>
  <si>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</si>
  <si>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</si>
  <si>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</si>
  <si>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</si>
  <si>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</si>
  <si>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</si>
  <si>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</si>
  <si>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</si>
  <si>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</si>
  <si>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</si>
  <si>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</si>
  <si>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</si>
  <si>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</si>
  <si>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</si>
  <si>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</si>
  <si>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</si>
  <si>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</si>
  <si>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</si>
  <si>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</si>
  <si>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</si>
  <si>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</si>
  <si>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</si>
  <si>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</si>
  <si>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</si>
  <si>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</si>
  <si>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</si>
  <si>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</si>
  <si>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</si>
  <si>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</si>
  <si>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</si>
  <si>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</si>
  <si>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</si>
  <si>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</si>
  <si>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</si>
  <si>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</si>
  <si>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</si>
  <si>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نطرین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</si>
  <si>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</si>
  <si>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</si>
  <si>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</si>
  <si>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</si>
  <si>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</si>
  <si>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</si>
  <si>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</si>
  <si>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</si>
  <si>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</si>
  <si>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</si>
  <si>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</si>
  <si>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</si>
  <si>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</si>
  <si>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طلب از داریوش</t>
  </si>
  <si>
    <t>سهم علی از سهام در بورس مریم 27/6</t>
  </si>
  <si>
    <t>27/6/1397</t>
  </si>
  <si>
    <t>24/5/97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</si>
  <si>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</si>
  <si>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</si>
  <si>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</si>
  <si>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</si>
  <si>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</si>
  <si>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</si>
  <si>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سهام تاپکیش</t>
  </si>
  <si>
    <t>تاپکیش</t>
  </si>
  <si>
    <t>تاپکیش 235 تا 170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</si>
  <si>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</si>
  <si>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</si>
  <si>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</si>
  <si>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</si>
  <si>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</si>
  <si>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</si>
  <si>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</si>
  <si>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</si>
  <si>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</si>
  <si>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</si>
  <si>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>وغدیر حساب مریم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</si>
  <si>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</si>
  <si>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</si>
  <si>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</si>
  <si>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</si>
  <si>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</si>
  <si>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</si>
  <si>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</si>
  <si>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</si>
  <si>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وغدیر 1272016 تا 192</t>
  </si>
  <si>
    <t>من از داریوش طلب داشتم و به مریم انتقال دادم</t>
  </si>
  <si>
    <t>طلب از داریوش تاپکیش 31/6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</si>
  <si>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</si>
  <si>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</si>
  <si>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</si>
  <si>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تعداد 216919 عدد سهام وغدیر</t>
  </si>
  <si>
    <t>ضرر حساب آتی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</si>
</sst>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8" fillId="0" borderId="1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28" workbookViewId="0">
      <selection activeCell="E40" sqref="E40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80" t="s">
        <v>0</v>
      </c>
      <c r="B1" s="180" t="s">
        <v>1</v>
      </c>
      <c r="C1" s="180" t="s">
        <v>4</v>
      </c>
      <c r="D1" s="180" t="s">
        <v>5</v>
      </c>
      <c r="E1" s="180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80" t="s">
        <v>4234</v>
      </c>
      <c r="B2" s="117">
        <f>شهریور97!B29</f>
        <v>46177</v>
      </c>
      <c r="C2" s="1">
        <f>شهریور97!C29</f>
        <v>7906317</v>
      </c>
      <c r="D2" s="117">
        <f>B2-C2</f>
        <v>-7860140</v>
      </c>
      <c r="E2" s="180" t="s">
        <v>59</v>
      </c>
      <c r="F2" s="100">
        <v>30</v>
      </c>
      <c r="G2" s="100">
        <f>B2*F2</f>
        <v>1385310</v>
      </c>
      <c r="H2" s="100">
        <f>C2*F2</f>
        <v>237189510</v>
      </c>
      <c r="I2" s="100">
        <f>D2*F2</f>
        <v>-235804200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4243</v>
      </c>
      <c r="B3" s="18">
        <v>830000</v>
      </c>
      <c r="C3" s="18">
        <v>0</v>
      </c>
      <c r="D3" s="121">
        <f t="shared" ref="D3:D26" si="0">B3-C3</f>
        <v>830000</v>
      </c>
      <c r="E3" s="20" t="s">
        <v>4245</v>
      </c>
      <c r="F3" s="100">
        <v>30</v>
      </c>
      <c r="G3" s="100">
        <f t="shared" ref="G3:G25" si="1">B3*F3</f>
        <v>24900000</v>
      </c>
      <c r="H3" s="100">
        <f t="shared" ref="H3:H25" si="2">C3*F3</f>
        <v>0</v>
      </c>
      <c r="I3" s="100">
        <f t="shared" ref="I3:I25" si="3">D3*F3</f>
        <v>24900000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/>
      <c r="C4" s="18">
        <v>0</v>
      </c>
      <c r="D4" s="117">
        <f t="shared" si="0"/>
        <v>0</v>
      </c>
      <c r="E4" s="103"/>
      <c r="F4" s="100">
        <v>29</v>
      </c>
      <c r="G4" s="100">
        <f t="shared" si="1"/>
        <v>0</v>
      </c>
      <c r="H4" s="100">
        <f t="shared" si="2"/>
        <v>0</v>
      </c>
      <c r="I4" s="100">
        <f t="shared" si="3"/>
        <v>0</v>
      </c>
      <c r="J4" s="100"/>
      <c r="K4" s="100"/>
      <c r="L4" s="100"/>
      <c r="M4" s="100"/>
      <c r="N4" s="100"/>
      <c r="P4" s="100"/>
      <c r="Q4" s="100"/>
      <c r="R4" s="100"/>
      <c r="S4" s="100"/>
      <c r="T4" s="100"/>
    </row>
    <row r="5" spans="1:20" x14ac:dyDescent="0.25">
      <c r="A5" s="30" t="s">
        <v>4086</v>
      </c>
      <c r="B5" s="18"/>
      <c r="C5" s="18">
        <v>0</v>
      </c>
      <c r="D5" s="117">
        <f t="shared" si="0"/>
        <v>0</v>
      </c>
      <c r="E5" s="20"/>
      <c r="F5" s="100">
        <v>27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1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/>
      <c r="C6" s="18">
        <v>0</v>
      </c>
      <c r="D6" s="117">
        <f t="shared" si="0"/>
        <v>0</v>
      </c>
      <c r="E6" s="19"/>
      <c r="F6" s="100">
        <v>27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2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/>
      <c r="C7" s="18">
        <v>0</v>
      </c>
      <c r="D7" s="117">
        <f t="shared" si="0"/>
        <v>0</v>
      </c>
      <c r="E7" s="19"/>
      <c r="F7" s="100">
        <v>25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3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/>
      <c r="C8" s="18">
        <v>0</v>
      </c>
      <c r="D8" s="117">
        <f t="shared" si="0"/>
        <v>0</v>
      </c>
      <c r="E8" s="19"/>
      <c r="F8" s="100">
        <v>24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4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/>
      <c r="C9" s="18">
        <v>0</v>
      </c>
      <c r="D9" s="117">
        <f t="shared" si="0"/>
        <v>0</v>
      </c>
      <c r="E9" s="21"/>
      <c r="F9" s="100">
        <v>24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5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/>
      <c r="C10" s="18">
        <v>0</v>
      </c>
      <c r="D10" s="117">
        <f t="shared" si="0"/>
        <v>0</v>
      </c>
      <c r="E10" s="19"/>
      <c r="F10" s="100">
        <v>24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6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/>
      <c r="C11" s="18">
        <v>0</v>
      </c>
      <c r="D11" s="117">
        <f t="shared" si="0"/>
        <v>0</v>
      </c>
      <c r="E11" s="19"/>
      <c r="F11" s="100">
        <v>24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7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/>
      <c r="C12" s="18">
        <v>0</v>
      </c>
      <c r="D12" s="117">
        <f t="shared" si="0"/>
        <v>0</v>
      </c>
      <c r="E12" s="20"/>
      <c r="F12" s="100">
        <v>24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8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4127</v>
      </c>
      <c r="B13" s="18"/>
      <c r="C13" s="18">
        <v>0</v>
      </c>
      <c r="D13" s="117">
        <f t="shared" si="0"/>
        <v>0</v>
      </c>
      <c r="E13" s="20"/>
      <c r="F13" s="100">
        <v>23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9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4141</v>
      </c>
      <c r="B14" s="18"/>
      <c r="C14" s="18">
        <v>0</v>
      </c>
      <c r="D14" s="117">
        <f t="shared" si="0"/>
        <v>0</v>
      </c>
      <c r="E14" s="20"/>
      <c r="F14" s="100">
        <v>17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10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0" t="s">
        <v>4157</v>
      </c>
      <c r="B15" s="18"/>
      <c r="C15" s="18">
        <v>0</v>
      </c>
      <c r="D15" s="121">
        <f t="shared" si="0"/>
        <v>0</v>
      </c>
      <c r="E15" s="20"/>
      <c r="F15" s="100">
        <v>17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11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4153</v>
      </c>
      <c r="B16" s="18"/>
      <c r="C16" s="18">
        <v>0</v>
      </c>
      <c r="D16" s="117">
        <f t="shared" si="0"/>
        <v>0</v>
      </c>
      <c r="E16" s="20"/>
      <c r="F16" s="100">
        <v>15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12</v>
      </c>
      <c r="P16" s="100">
        <v>18</v>
      </c>
      <c r="Q16" s="100">
        <v>19</v>
      </c>
      <c r="R16" s="100"/>
      <c r="S16" s="100"/>
      <c r="T16" s="100"/>
    </row>
    <row r="17" spans="1:20" x14ac:dyDescent="0.25">
      <c r="A17" s="20" t="s">
        <v>4153</v>
      </c>
      <c r="B17" s="18"/>
      <c r="C17" s="18">
        <v>0</v>
      </c>
      <c r="D17" s="117">
        <f t="shared" si="0"/>
        <v>0</v>
      </c>
      <c r="E17" s="20"/>
      <c r="F17" s="100">
        <v>14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13</v>
      </c>
      <c r="P17" s="100">
        <v>17</v>
      </c>
      <c r="Q17" s="100">
        <v>18</v>
      </c>
      <c r="R17" s="100"/>
      <c r="S17" s="100"/>
      <c r="T17" s="100"/>
    </row>
    <row r="18" spans="1:20" x14ac:dyDescent="0.25">
      <c r="A18" s="20" t="s">
        <v>4170</v>
      </c>
      <c r="B18" s="18"/>
      <c r="C18" s="18">
        <v>0</v>
      </c>
      <c r="D18" s="117">
        <f t="shared" si="0"/>
        <v>0</v>
      </c>
      <c r="E18" s="20"/>
      <c r="F18" s="100">
        <v>13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14</v>
      </c>
      <c r="P18" s="100">
        <v>16</v>
      </c>
      <c r="Q18" s="100">
        <v>17</v>
      </c>
      <c r="R18" s="100"/>
      <c r="S18" s="100"/>
      <c r="T18" s="100"/>
    </row>
    <row r="19" spans="1:20" x14ac:dyDescent="0.25">
      <c r="A19" s="20" t="s">
        <v>4184</v>
      </c>
      <c r="B19" s="18"/>
      <c r="C19" s="18">
        <v>0</v>
      </c>
      <c r="D19" s="117">
        <f t="shared" si="0"/>
        <v>0</v>
      </c>
      <c r="E19" s="20"/>
      <c r="F19" s="100">
        <v>10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15</v>
      </c>
      <c r="P19" s="100">
        <v>15</v>
      </c>
      <c r="Q19" s="100">
        <v>16</v>
      </c>
      <c r="R19" s="100"/>
      <c r="S19" s="100"/>
      <c r="T19" s="100"/>
    </row>
    <row r="20" spans="1:20" x14ac:dyDescent="0.25">
      <c r="A20" s="19" t="s">
        <v>4184</v>
      </c>
      <c r="B20" s="18"/>
      <c r="C20" s="18">
        <v>0</v>
      </c>
      <c r="D20" s="117">
        <f t="shared" si="0"/>
        <v>0</v>
      </c>
      <c r="E20" s="19"/>
      <c r="F20" s="100">
        <v>10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16</v>
      </c>
      <c r="P20" s="100">
        <v>14</v>
      </c>
      <c r="Q20" s="100">
        <v>15</v>
      </c>
      <c r="R20" s="100"/>
      <c r="S20" s="100"/>
      <c r="T20" s="100"/>
    </row>
    <row r="21" spans="1:20" x14ac:dyDescent="0.25">
      <c r="A21" s="19" t="s">
        <v>4189</v>
      </c>
      <c r="B21" s="18"/>
      <c r="C21" s="18">
        <v>0</v>
      </c>
      <c r="D21" s="117">
        <f t="shared" si="0"/>
        <v>0</v>
      </c>
      <c r="E21" s="19"/>
      <c r="F21" s="100">
        <v>10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17</v>
      </c>
      <c r="P21" s="100">
        <v>13</v>
      </c>
      <c r="Q21" s="100">
        <v>14</v>
      </c>
      <c r="R21" s="100"/>
      <c r="S21" s="100"/>
      <c r="T21" s="100"/>
    </row>
    <row r="22" spans="1:20" x14ac:dyDescent="0.25">
      <c r="A22" s="19" t="s">
        <v>4189</v>
      </c>
      <c r="B22" s="18"/>
      <c r="C22" s="18">
        <v>0</v>
      </c>
      <c r="D22" s="117">
        <f t="shared" si="0"/>
        <v>0</v>
      </c>
      <c r="E22" s="19"/>
      <c r="F22" s="100">
        <v>10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18</v>
      </c>
      <c r="P22" s="100">
        <v>12</v>
      </c>
      <c r="Q22" s="100">
        <v>13</v>
      </c>
      <c r="R22" s="100"/>
      <c r="S22" s="100"/>
      <c r="T22" s="100"/>
    </row>
    <row r="23" spans="1:20" x14ac:dyDescent="0.25">
      <c r="A23" s="19" t="s">
        <v>4214</v>
      </c>
      <c r="B23" s="18"/>
      <c r="C23" s="18">
        <v>0</v>
      </c>
      <c r="D23" s="117">
        <f t="shared" si="0"/>
        <v>0</v>
      </c>
      <c r="E23" s="19"/>
      <c r="F23" s="100">
        <v>6</v>
      </c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19</v>
      </c>
      <c r="P23" s="100">
        <v>11</v>
      </c>
      <c r="Q23" s="100">
        <v>12</v>
      </c>
      <c r="R23" s="100"/>
      <c r="S23" s="100"/>
      <c r="T23" s="100"/>
    </row>
    <row r="24" spans="1:20" x14ac:dyDescent="0.25">
      <c r="A24" s="19" t="s">
        <v>4214</v>
      </c>
      <c r="B24" s="18"/>
      <c r="C24" s="18">
        <v>0</v>
      </c>
      <c r="D24" s="117">
        <f t="shared" si="0"/>
        <v>0</v>
      </c>
      <c r="E24" s="19"/>
      <c r="F24" s="100">
        <v>6</v>
      </c>
      <c r="G24" s="100">
        <f t="shared" si="1"/>
        <v>0</v>
      </c>
      <c r="H24" s="100">
        <f t="shared" si="2"/>
        <v>0</v>
      </c>
      <c r="I24" s="100">
        <f t="shared" si="3"/>
        <v>0</v>
      </c>
      <c r="J24" s="100"/>
      <c r="K24" s="100"/>
      <c r="L24" s="100"/>
      <c r="M24" s="100"/>
      <c r="N24" s="100"/>
      <c r="O24" s="100">
        <v>20</v>
      </c>
      <c r="P24" s="100">
        <v>10</v>
      </c>
      <c r="Q24" s="100">
        <v>11</v>
      </c>
      <c r="R24" s="100"/>
      <c r="S24" s="100"/>
      <c r="T24" s="100"/>
    </row>
    <row r="25" spans="1:20" x14ac:dyDescent="0.25">
      <c r="A25" s="19" t="s">
        <v>4222</v>
      </c>
      <c r="B25" s="18"/>
      <c r="C25" s="18">
        <v>0</v>
      </c>
      <c r="D25" s="117">
        <f t="shared" si="0"/>
        <v>0</v>
      </c>
      <c r="E25" s="19"/>
      <c r="F25" s="100">
        <v>6</v>
      </c>
      <c r="G25" s="100">
        <f t="shared" si="1"/>
        <v>0</v>
      </c>
      <c r="H25" s="100">
        <f t="shared" si="2"/>
        <v>0</v>
      </c>
      <c r="I25" s="100">
        <f t="shared" si="3"/>
        <v>0</v>
      </c>
      <c r="J25" s="100"/>
      <c r="K25" s="100"/>
      <c r="L25" s="100"/>
      <c r="M25" s="100"/>
      <c r="N25" s="100"/>
      <c r="O25" s="100">
        <v>21</v>
      </c>
      <c r="P25" s="100">
        <v>9</v>
      </c>
      <c r="Q25" s="100">
        <v>10</v>
      </c>
      <c r="R25" s="100"/>
      <c r="S25" s="100"/>
      <c r="T25" s="100"/>
    </row>
    <row r="26" spans="1:20" x14ac:dyDescent="0.25">
      <c r="A26" s="180" t="s">
        <v>4240</v>
      </c>
      <c r="B26" s="180"/>
      <c r="C26" s="180">
        <v>0</v>
      </c>
      <c r="D26" s="180">
        <f t="shared" si="0"/>
        <v>0</v>
      </c>
      <c r="E26" s="180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22</v>
      </c>
      <c r="P26" s="100">
        <v>8</v>
      </c>
      <c r="Q26" s="100">
        <v>9</v>
      </c>
      <c r="R26" s="100"/>
      <c r="S26" s="100"/>
      <c r="T26" s="100"/>
    </row>
    <row r="27" spans="1:20" x14ac:dyDescent="0.25">
      <c r="A27" s="180" t="s">
        <v>6</v>
      </c>
      <c r="B27" s="117">
        <f>SUM(B2:B26)</f>
        <v>876177</v>
      </c>
      <c r="C27" s="117">
        <f>SUM(C2:C26)</f>
        <v>7906317</v>
      </c>
      <c r="D27" s="117">
        <f>SUM(D2:D26)</f>
        <v>-7030140</v>
      </c>
      <c r="E27" s="18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23</v>
      </c>
      <c r="P27" s="100">
        <v>7</v>
      </c>
      <c r="Q27" s="100">
        <v>8</v>
      </c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8">
        <f>SUM(G2:G26)</f>
        <v>26285310</v>
      </c>
      <c r="H28" s="18">
        <f>SUM(H2:H26)</f>
        <v>237189510</v>
      </c>
      <c r="I28" s="18">
        <f>SUM(I2:I26)</f>
        <v>-210904200</v>
      </c>
      <c r="J28" s="100"/>
      <c r="K28" s="100"/>
      <c r="L28" s="100"/>
      <c r="M28" s="100"/>
      <c r="N28" s="100"/>
      <c r="O28" s="100">
        <v>24</v>
      </c>
      <c r="P28" s="100">
        <v>6</v>
      </c>
      <c r="Q28" s="100">
        <v>7</v>
      </c>
      <c r="R28" s="100"/>
      <c r="S28" s="100"/>
      <c r="T28" s="100"/>
    </row>
    <row r="29" spans="1:20" x14ac:dyDescent="0.25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25</v>
      </c>
      <c r="P29" s="100">
        <v>5</v>
      </c>
      <c r="Q29" s="100">
        <v>6</v>
      </c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26</v>
      </c>
      <c r="P30" s="100">
        <v>4</v>
      </c>
      <c r="Q30" s="100">
        <v>5</v>
      </c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27</v>
      </c>
      <c r="P31" s="100">
        <v>3</v>
      </c>
      <c r="Q31" s="100">
        <v>4</v>
      </c>
      <c r="R31" s="100"/>
      <c r="S31" s="100"/>
      <c r="T31" s="100"/>
    </row>
    <row r="32" spans="1:20" x14ac:dyDescent="0.25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28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-46394117</v>
      </c>
      <c r="E33" s="41" t="s">
        <v>95</v>
      </c>
      <c r="F33" s="100"/>
      <c r="G33" s="18">
        <v>600</v>
      </c>
      <c r="H33" s="18">
        <f>G33*H28/G28</f>
        <v>5414.1916530564031</v>
      </c>
      <c r="I33" s="18">
        <f>G33*I28/G28</f>
        <v>-4814.1916530564031</v>
      </c>
      <c r="J33" s="100"/>
      <c r="K33" s="100"/>
      <c r="L33" s="100"/>
      <c r="M33" s="100"/>
      <c r="N33" s="100"/>
      <c r="O33" s="100">
        <v>29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-110000</v>
      </c>
      <c r="E34" s="54" t="s">
        <v>4246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30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18"/>
      <c r="C35" s="100"/>
      <c r="D35" s="118">
        <v>-840000</v>
      </c>
      <c r="E35" s="41" t="s">
        <v>4247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-540000</v>
      </c>
      <c r="E36" s="41" t="s">
        <v>4248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-196956</v>
      </c>
      <c r="E37" s="41" t="s">
        <v>4249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-150000</v>
      </c>
      <c r="E38" s="41" t="s">
        <v>4260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1392908</v>
      </c>
      <c r="E39" s="41" t="s">
        <v>4263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/>
      <c r="E40" s="41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/>
      <c r="E41" s="41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/>
      <c r="E42" s="41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/>
      <c r="E43" s="41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/>
      <c r="E44" s="41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/>
      <c r="E45" s="41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/>
      <c r="E46" s="41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/>
      <c r="E47" s="41"/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/>
      <c r="E48" s="41"/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/>
      <c r="E49" s="41"/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/>
      <c r="E50" s="41"/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/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 t="s">
        <v>25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f>SUM(D33:D53)</f>
        <v>-46838165</v>
      </c>
      <c r="E54" s="100" t="s">
        <v>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zoomScaleNormal="100" workbookViewId="0">
      <pane ySplit="1" topLeftCell="A194" activePane="bottomLeft" state="frozen"/>
      <selection pane="bottomLeft" activeCell="C209" sqref="C20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893</v>
      </c>
      <c r="H2" s="36">
        <f>IF(B2&gt;0,1,0)</f>
        <v>1</v>
      </c>
      <c r="I2" s="11">
        <f>B2*(G2-H2)</f>
        <v>14896400</v>
      </c>
      <c r="J2" s="53">
        <f>C2*(G2-H2)</f>
        <v>14896400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892</v>
      </c>
      <c r="H3" s="36">
        <f t="shared" ref="H3:H66" si="2">IF(B3&gt;0,1,0)</f>
        <v>1</v>
      </c>
      <c r="I3" s="11">
        <f t="shared" ref="I3:I66" si="3">B3*(G3-H3)</f>
        <v>17730900000</v>
      </c>
      <c r="J3" s="53">
        <f t="shared" ref="J3:J66" si="4">C3*(G3-H3)</f>
        <v>10145817000</v>
      </c>
      <c r="K3" s="53">
        <f t="shared" ref="K3:K66" si="5">D3*(G3-H3)</f>
        <v>7585083000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892</v>
      </c>
      <c r="H4" s="36">
        <f t="shared" si="2"/>
        <v>0</v>
      </c>
      <c r="I4" s="11">
        <f t="shared" si="3"/>
        <v>0</v>
      </c>
      <c r="J4" s="53">
        <f t="shared" si="4"/>
        <v>7582000</v>
      </c>
      <c r="K4" s="53">
        <f t="shared" si="5"/>
        <v>-7582000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890</v>
      </c>
      <c r="H5" s="36">
        <f t="shared" si="2"/>
        <v>1</v>
      </c>
      <c r="I5" s="11">
        <f t="shared" si="3"/>
        <v>1778000000</v>
      </c>
      <c r="J5" s="53">
        <f t="shared" si="4"/>
        <v>0</v>
      </c>
      <c r="K5" s="53">
        <f t="shared" si="5"/>
        <v>1778000000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883</v>
      </c>
      <c r="H6" s="36">
        <f t="shared" si="2"/>
        <v>0</v>
      </c>
      <c r="I6" s="11">
        <f t="shared" si="3"/>
        <v>-4415000</v>
      </c>
      <c r="J6" s="53">
        <f t="shared" si="4"/>
        <v>0</v>
      </c>
      <c r="K6" s="53">
        <f t="shared" si="5"/>
        <v>-4415000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879</v>
      </c>
      <c r="H7" s="36">
        <f t="shared" si="2"/>
        <v>0</v>
      </c>
      <c r="I7" s="11">
        <f t="shared" si="3"/>
        <v>-1055239500</v>
      </c>
      <c r="J7" s="53">
        <f t="shared" si="4"/>
        <v>0</v>
      </c>
      <c r="K7" s="53">
        <f t="shared" si="5"/>
        <v>-1055239500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878</v>
      </c>
      <c r="H8" s="36">
        <f t="shared" si="2"/>
        <v>0</v>
      </c>
      <c r="I8" s="11">
        <f t="shared" si="3"/>
        <v>-175600000</v>
      </c>
      <c r="J8" s="53">
        <f t="shared" si="4"/>
        <v>0</v>
      </c>
      <c r="K8" s="53">
        <f t="shared" si="5"/>
        <v>-175600000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876</v>
      </c>
      <c r="H9" s="36">
        <f t="shared" si="2"/>
        <v>0</v>
      </c>
      <c r="I9" s="11">
        <f t="shared" si="3"/>
        <v>-618018000</v>
      </c>
      <c r="J9" s="53">
        <f t="shared" si="4"/>
        <v>0</v>
      </c>
      <c r="K9" s="53">
        <f t="shared" si="5"/>
        <v>-618018000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867</v>
      </c>
      <c r="H10" s="36">
        <f t="shared" si="2"/>
        <v>0</v>
      </c>
      <c r="I10" s="11">
        <f t="shared" si="3"/>
        <v>-173400000</v>
      </c>
      <c r="J10" s="53">
        <f t="shared" si="4"/>
        <v>0</v>
      </c>
      <c r="K10" s="53">
        <f t="shared" si="5"/>
        <v>-173400000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867</v>
      </c>
      <c r="H11" s="36">
        <f t="shared" si="2"/>
        <v>1</v>
      </c>
      <c r="I11" s="11">
        <f t="shared" si="3"/>
        <v>866000000</v>
      </c>
      <c r="J11" s="53">
        <f t="shared" si="4"/>
        <v>0</v>
      </c>
      <c r="K11" s="53">
        <f t="shared" si="5"/>
        <v>866000000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863</v>
      </c>
      <c r="H12" s="36">
        <f t="shared" si="2"/>
        <v>0</v>
      </c>
      <c r="I12" s="11">
        <f t="shared" si="3"/>
        <v>-258900000</v>
      </c>
      <c r="J12" s="53">
        <f t="shared" si="4"/>
        <v>0</v>
      </c>
      <c r="K12" s="53">
        <f t="shared" si="5"/>
        <v>-258900000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858</v>
      </c>
      <c r="H13" s="36">
        <f t="shared" si="2"/>
        <v>0</v>
      </c>
      <c r="I13" s="11">
        <f t="shared" si="3"/>
        <v>-53196000</v>
      </c>
      <c r="J13" s="53">
        <f t="shared" si="4"/>
        <v>0</v>
      </c>
      <c r="K13" s="53">
        <f t="shared" si="5"/>
        <v>-53196000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858</v>
      </c>
      <c r="H14" s="36">
        <f t="shared" si="2"/>
        <v>1</v>
      </c>
      <c r="I14" s="11">
        <f t="shared" si="3"/>
        <v>1714000000</v>
      </c>
      <c r="J14" s="53">
        <f t="shared" si="4"/>
        <v>0</v>
      </c>
      <c r="K14" s="53">
        <f t="shared" si="5"/>
        <v>1714000000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857</v>
      </c>
      <c r="H15" s="36">
        <f t="shared" si="2"/>
        <v>1</v>
      </c>
      <c r="I15" s="11">
        <f t="shared" si="3"/>
        <v>1540800000</v>
      </c>
      <c r="J15" s="53">
        <f t="shared" si="4"/>
        <v>0</v>
      </c>
      <c r="K15" s="53">
        <f t="shared" si="5"/>
        <v>1540800000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857</v>
      </c>
      <c r="H16" s="36">
        <f t="shared" si="2"/>
        <v>0</v>
      </c>
      <c r="I16" s="11">
        <f t="shared" si="3"/>
        <v>-171400000</v>
      </c>
      <c r="J16" s="53">
        <f t="shared" si="4"/>
        <v>0</v>
      </c>
      <c r="K16" s="53">
        <f t="shared" si="5"/>
        <v>-171400000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853</v>
      </c>
      <c r="H17" s="36">
        <f t="shared" si="2"/>
        <v>0</v>
      </c>
      <c r="I17" s="11">
        <f t="shared" si="3"/>
        <v>-1706000000</v>
      </c>
      <c r="J17" s="53">
        <f t="shared" si="4"/>
        <v>0</v>
      </c>
      <c r="K17" s="53">
        <f t="shared" si="5"/>
        <v>-1706000000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852</v>
      </c>
      <c r="H18" s="36">
        <f t="shared" si="2"/>
        <v>0</v>
      </c>
      <c r="I18" s="11">
        <f t="shared" si="3"/>
        <v>-255600000</v>
      </c>
      <c r="J18" s="53">
        <f t="shared" si="4"/>
        <v>0</v>
      </c>
      <c r="K18" s="53">
        <f t="shared" si="5"/>
        <v>-255600000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851</v>
      </c>
      <c r="H19" s="36">
        <f t="shared" si="2"/>
        <v>0</v>
      </c>
      <c r="I19" s="11">
        <f t="shared" si="3"/>
        <v>-170200000</v>
      </c>
      <c r="J19" s="53">
        <f t="shared" si="4"/>
        <v>0</v>
      </c>
      <c r="K19" s="53">
        <f t="shared" si="5"/>
        <v>-170200000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849</v>
      </c>
      <c r="H20" s="36">
        <f t="shared" si="2"/>
        <v>1</v>
      </c>
      <c r="I20" s="11">
        <f t="shared" si="3"/>
        <v>229883472</v>
      </c>
      <c r="J20" s="53">
        <f t="shared" si="4"/>
        <v>125039296</v>
      </c>
      <c r="K20" s="53">
        <f t="shared" si="5"/>
        <v>104844176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847</v>
      </c>
      <c r="H21" s="36">
        <f t="shared" si="2"/>
        <v>0</v>
      </c>
      <c r="I21" s="11">
        <f t="shared" si="3"/>
        <v>-1275327900</v>
      </c>
      <c r="J21" s="53">
        <f t="shared" si="4"/>
        <v>0</v>
      </c>
      <c r="K21" s="53">
        <f t="shared" si="5"/>
        <v>-1275327900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844</v>
      </c>
      <c r="H22" s="36">
        <f t="shared" si="2"/>
        <v>1</v>
      </c>
      <c r="I22" s="11">
        <f t="shared" si="3"/>
        <v>2529000000</v>
      </c>
      <c r="J22" s="53">
        <f t="shared" si="4"/>
        <v>0</v>
      </c>
      <c r="K22" s="53">
        <f t="shared" si="5"/>
        <v>2529000000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843</v>
      </c>
      <c r="H23" s="36">
        <f t="shared" si="2"/>
        <v>1</v>
      </c>
      <c r="I23" s="11">
        <f t="shared" si="3"/>
        <v>842000000</v>
      </c>
      <c r="J23" s="53">
        <f t="shared" si="4"/>
        <v>0</v>
      </c>
      <c r="K23" s="53">
        <f t="shared" si="5"/>
        <v>842000000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842</v>
      </c>
      <c r="H24" s="36">
        <f t="shared" si="2"/>
        <v>0</v>
      </c>
      <c r="I24" s="11">
        <f t="shared" si="3"/>
        <v>-2526757800</v>
      </c>
      <c r="J24" s="53">
        <f t="shared" si="4"/>
        <v>0</v>
      </c>
      <c r="K24" s="53">
        <f t="shared" si="5"/>
        <v>-2526757800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827</v>
      </c>
      <c r="H25" s="36">
        <f t="shared" si="2"/>
        <v>1</v>
      </c>
      <c r="I25" s="11">
        <f t="shared" si="3"/>
        <v>1239000000</v>
      </c>
      <c r="J25" s="53">
        <f t="shared" si="4"/>
        <v>0</v>
      </c>
      <c r="K25" s="53">
        <f t="shared" si="5"/>
        <v>1239000000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819</v>
      </c>
      <c r="H26" s="36">
        <f t="shared" si="2"/>
        <v>0</v>
      </c>
      <c r="I26" s="11">
        <f t="shared" si="3"/>
        <v>-134316000</v>
      </c>
      <c r="J26" s="53">
        <f t="shared" si="4"/>
        <v>0</v>
      </c>
      <c r="K26" s="53">
        <f t="shared" si="5"/>
        <v>-134316000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818</v>
      </c>
      <c r="H27" s="36">
        <f t="shared" si="2"/>
        <v>1</v>
      </c>
      <c r="I27" s="11">
        <f t="shared" si="3"/>
        <v>162904081</v>
      </c>
      <c r="J27" s="53">
        <f t="shared" si="4"/>
        <v>87756421</v>
      </c>
      <c r="K27" s="53">
        <f t="shared" si="5"/>
        <v>75147660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816</v>
      </c>
      <c r="H28" s="36">
        <f t="shared" si="2"/>
        <v>0</v>
      </c>
      <c r="I28" s="11">
        <f t="shared" si="3"/>
        <v>-180336000</v>
      </c>
      <c r="J28" s="53">
        <f t="shared" si="4"/>
        <v>-180336000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816</v>
      </c>
      <c r="H29" s="36">
        <f t="shared" si="2"/>
        <v>0</v>
      </c>
      <c r="I29" s="11">
        <f t="shared" si="3"/>
        <v>-408408000</v>
      </c>
      <c r="J29" s="53">
        <f t="shared" si="4"/>
        <v>0</v>
      </c>
      <c r="K29" s="53">
        <f t="shared" si="5"/>
        <v>-408408000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816</v>
      </c>
      <c r="H30" s="36">
        <f t="shared" si="2"/>
        <v>0</v>
      </c>
      <c r="I30" s="11">
        <f t="shared" si="3"/>
        <v>-12240000000</v>
      </c>
      <c r="J30" s="53">
        <f t="shared" si="4"/>
        <v>-12240000000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799</v>
      </c>
      <c r="H31" s="36">
        <f t="shared" si="2"/>
        <v>0</v>
      </c>
      <c r="I31" s="11">
        <f t="shared" si="3"/>
        <v>-2405709100</v>
      </c>
      <c r="J31" s="53">
        <f t="shared" si="4"/>
        <v>0</v>
      </c>
      <c r="K31" s="53">
        <f t="shared" si="5"/>
        <v>-2405709100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797</v>
      </c>
      <c r="H32" s="36">
        <f t="shared" si="2"/>
        <v>0</v>
      </c>
      <c r="I32" s="11">
        <f t="shared" si="3"/>
        <v>-2395702300</v>
      </c>
      <c r="J32" s="53">
        <f t="shared" si="4"/>
        <v>0</v>
      </c>
      <c r="K32" s="53">
        <f t="shared" si="5"/>
        <v>-2395702300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796</v>
      </c>
      <c r="H33" s="36">
        <f t="shared" si="2"/>
        <v>0</v>
      </c>
      <c r="I33" s="11">
        <f t="shared" si="3"/>
        <v>-712818000</v>
      </c>
      <c r="J33" s="53">
        <f t="shared" si="4"/>
        <v>0</v>
      </c>
      <c r="K33" s="53">
        <f t="shared" si="5"/>
        <v>-712818000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796</v>
      </c>
      <c r="H34" s="36">
        <f t="shared" si="2"/>
        <v>0</v>
      </c>
      <c r="I34" s="11">
        <f t="shared" si="3"/>
        <v>0</v>
      </c>
      <c r="J34" s="53">
        <f t="shared" si="4"/>
        <v>796000000</v>
      </c>
      <c r="K34" s="53">
        <f t="shared" si="5"/>
        <v>-796000000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787</v>
      </c>
      <c r="H35" s="36">
        <f t="shared" si="2"/>
        <v>1</v>
      </c>
      <c r="I35" s="11">
        <f t="shared" si="3"/>
        <v>41242992</v>
      </c>
      <c r="J35" s="53">
        <f t="shared" si="4"/>
        <v>-17027118</v>
      </c>
      <c r="K35" s="53">
        <f t="shared" si="5"/>
        <v>58270110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787</v>
      </c>
      <c r="H36" s="36">
        <f t="shared" si="2"/>
        <v>0</v>
      </c>
      <c r="I36" s="11">
        <f t="shared" si="3"/>
        <v>0</v>
      </c>
      <c r="J36" s="53">
        <f t="shared" si="4"/>
        <v>17048781</v>
      </c>
      <c r="K36" s="53">
        <f t="shared" si="5"/>
        <v>-17048781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777</v>
      </c>
      <c r="H37" s="36">
        <f t="shared" si="2"/>
        <v>0</v>
      </c>
      <c r="I37" s="11">
        <f t="shared" si="3"/>
        <v>-42735000</v>
      </c>
      <c r="J37" s="53">
        <f t="shared" si="4"/>
        <v>0</v>
      </c>
      <c r="K37" s="53">
        <f t="shared" si="5"/>
        <v>-42735000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776</v>
      </c>
      <c r="H38" s="36">
        <f t="shared" si="2"/>
        <v>1</v>
      </c>
      <c r="I38" s="11">
        <f t="shared" si="3"/>
        <v>2325000000</v>
      </c>
      <c r="J38" s="53">
        <f t="shared" si="4"/>
        <v>2325000000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775</v>
      </c>
      <c r="H39" s="36">
        <f t="shared" si="2"/>
        <v>1</v>
      </c>
      <c r="I39" s="11">
        <f t="shared" si="3"/>
        <v>1935000000</v>
      </c>
      <c r="J39" s="53">
        <f t="shared" si="4"/>
        <v>1935000000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775</v>
      </c>
      <c r="H40" s="36">
        <f t="shared" si="2"/>
        <v>0</v>
      </c>
      <c r="I40" s="11">
        <f t="shared" si="3"/>
        <v>-38750000</v>
      </c>
      <c r="J40" s="53">
        <f t="shared" si="4"/>
        <v>0</v>
      </c>
      <c r="K40" s="53">
        <f t="shared" si="5"/>
        <v>-38750000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775</v>
      </c>
      <c r="H41" s="36">
        <f t="shared" si="2"/>
        <v>1</v>
      </c>
      <c r="I41" s="11">
        <f t="shared" si="3"/>
        <v>2322000000</v>
      </c>
      <c r="J41" s="53">
        <f t="shared" si="4"/>
        <v>0</v>
      </c>
      <c r="K41" s="53">
        <f t="shared" si="5"/>
        <v>2322000000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772</v>
      </c>
      <c r="H42" s="36">
        <f t="shared" si="2"/>
        <v>0</v>
      </c>
      <c r="I42" s="11">
        <f t="shared" si="3"/>
        <v>-68862400</v>
      </c>
      <c r="J42" s="53">
        <f t="shared" si="4"/>
        <v>0</v>
      </c>
      <c r="K42" s="53">
        <f t="shared" si="5"/>
        <v>-68862400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768</v>
      </c>
      <c r="H43" s="36">
        <f t="shared" si="2"/>
        <v>0</v>
      </c>
      <c r="I43" s="11">
        <f t="shared" si="3"/>
        <v>-153600000</v>
      </c>
      <c r="J43" s="53">
        <f t="shared" si="4"/>
        <v>0</v>
      </c>
      <c r="K43" s="53">
        <f t="shared" si="5"/>
        <v>-153600000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766</v>
      </c>
      <c r="H44" s="36">
        <f t="shared" si="2"/>
        <v>0</v>
      </c>
      <c r="I44" s="11">
        <f t="shared" si="3"/>
        <v>-153200000</v>
      </c>
      <c r="J44" s="53">
        <f t="shared" si="4"/>
        <v>0</v>
      </c>
      <c r="K44" s="53">
        <f t="shared" si="5"/>
        <v>-153200000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766</v>
      </c>
      <c r="H45" s="36">
        <f t="shared" si="2"/>
        <v>0</v>
      </c>
      <c r="I45" s="11">
        <f t="shared" si="3"/>
        <v>-428960000</v>
      </c>
      <c r="J45" s="53">
        <f t="shared" si="4"/>
        <v>0</v>
      </c>
      <c r="K45" s="53">
        <f t="shared" si="5"/>
        <v>-428960000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762</v>
      </c>
      <c r="H46" s="36">
        <f t="shared" si="2"/>
        <v>0</v>
      </c>
      <c r="I46" s="11">
        <f t="shared" si="3"/>
        <v>-537591000</v>
      </c>
      <c r="J46" s="53">
        <f t="shared" si="4"/>
        <v>0</v>
      </c>
      <c r="K46" s="53">
        <f t="shared" si="5"/>
        <v>-537591000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756</v>
      </c>
      <c r="H47" s="36">
        <f t="shared" si="2"/>
        <v>1</v>
      </c>
      <c r="I47" s="11">
        <f t="shared" si="3"/>
        <v>31109020</v>
      </c>
      <c r="J47" s="53">
        <f t="shared" si="4"/>
        <v>5068315</v>
      </c>
      <c r="K47" s="53">
        <f t="shared" si="5"/>
        <v>26040705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756</v>
      </c>
      <c r="H48" s="36">
        <f t="shared" si="2"/>
        <v>1</v>
      </c>
      <c r="I48" s="11">
        <f t="shared" si="3"/>
        <v>1287048500</v>
      </c>
      <c r="J48" s="53">
        <f t="shared" si="4"/>
        <v>0</v>
      </c>
      <c r="K48" s="53">
        <f t="shared" si="5"/>
        <v>1287048500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747</v>
      </c>
      <c r="H49" s="36">
        <f t="shared" si="2"/>
        <v>0</v>
      </c>
      <c r="I49" s="11">
        <f t="shared" si="3"/>
        <v>-115785000</v>
      </c>
      <c r="J49" s="53">
        <f t="shared" si="4"/>
        <v>0</v>
      </c>
      <c r="K49" s="53">
        <f t="shared" si="5"/>
        <v>-115785000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747</v>
      </c>
      <c r="H50" s="36">
        <f t="shared" si="2"/>
        <v>0</v>
      </c>
      <c r="I50" s="11">
        <f t="shared" si="3"/>
        <v>-103086000</v>
      </c>
      <c r="J50" s="53">
        <f t="shared" si="4"/>
        <v>0</v>
      </c>
      <c r="K50" s="53">
        <f t="shared" si="5"/>
        <v>-103086000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747</v>
      </c>
      <c r="H51" s="36">
        <f t="shared" si="2"/>
        <v>0</v>
      </c>
      <c r="I51" s="11">
        <f t="shared" si="3"/>
        <v>-552780000</v>
      </c>
      <c r="J51" s="53">
        <f t="shared" si="4"/>
        <v>0</v>
      </c>
      <c r="K51" s="53">
        <f t="shared" si="5"/>
        <v>-552780000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747</v>
      </c>
      <c r="H52" s="36">
        <f t="shared" si="2"/>
        <v>0</v>
      </c>
      <c r="I52" s="11">
        <f t="shared" si="3"/>
        <v>-149400000</v>
      </c>
      <c r="J52" s="53">
        <f t="shared" si="4"/>
        <v>0</v>
      </c>
      <c r="K52" s="53">
        <f t="shared" si="5"/>
        <v>-149400000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746</v>
      </c>
      <c r="H53" s="36">
        <f t="shared" si="2"/>
        <v>0</v>
      </c>
      <c r="I53" s="11">
        <f t="shared" si="3"/>
        <v>-787030000</v>
      </c>
      <c r="J53" s="53">
        <f t="shared" si="4"/>
        <v>0</v>
      </c>
      <c r="K53" s="53">
        <f t="shared" si="5"/>
        <v>-787030000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746</v>
      </c>
      <c r="H54" s="36">
        <f t="shared" si="2"/>
        <v>0</v>
      </c>
      <c r="I54" s="11">
        <f t="shared" si="3"/>
        <v>-149200000</v>
      </c>
      <c r="J54" s="53">
        <f t="shared" si="4"/>
        <v>0</v>
      </c>
      <c r="K54" s="53">
        <f t="shared" si="5"/>
        <v>-149200000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746</v>
      </c>
      <c r="H55" s="36">
        <f t="shared" si="2"/>
        <v>0</v>
      </c>
      <c r="I55" s="11">
        <f t="shared" si="3"/>
        <v>-746373000</v>
      </c>
      <c r="J55" s="53">
        <f t="shared" si="4"/>
        <v>0</v>
      </c>
      <c r="K55" s="53">
        <f t="shared" si="5"/>
        <v>-746373000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746</v>
      </c>
      <c r="H56" s="36">
        <f t="shared" si="2"/>
        <v>0</v>
      </c>
      <c r="I56" s="11">
        <f t="shared" si="3"/>
        <v>-28348000</v>
      </c>
      <c r="J56" s="53">
        <f t="shared" si="4"/>
        <v>0</v>
      </c>
      <c r="K56" s="53">
        <f t="shared" si="5"/>
        <v>-28348000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746</v>
      </c>
      <c r="H57" s="36">
        <f t="shared" si="2"/>
        <v>0</v>
      </c>
      <c r="I57" s="11">
        <f t="shared" si="3"/>
        <v>-78330000</v>
      </c>
      <c r="J57" s="53">
        <f t="shared" si="4"/>
        <v>0</v>
      </c>
      <c r="K57" s="53">
        <f t="shared" si="5"/>
        <v>-78330000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746</v>
      </c>
      <c r="H58" s="36">
        <f t="shared" si="2"/>
        <v>0</v>
      </c>
      <c r="I58" s="11">
        <f t="shared" si="3"/>
        <v>-44760000</v>
      </c>
      <c r="J58" s="53">
        <f t="shared" si="4"/>
        <v>0</v>
      </c>
      <c r="K58" s="53">
        <f t="shared" si="5"/>
        <v>-44760000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743</v>
      </c>
      <c r="H59" s="36">
        <f t="shared" si="2"/>
        <v>1</v>
      </c>
      <c r="I59" s="11">
        <f t="shared" si="3"/>
        <v>742000000</v>
      </c>
      <c r="J59" s="53">
        <f t="shared" si="4"/>
        <v>742000000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742</v>
      </c>
      <c r="H60" s="36">
        <f t="shared" si="2"/>
        <v>1</v>
      </c>
      <c r="I60" s="11">
        <f t="shared" si="3"/>
        <v>2593500000</v>
      </c>
      <c r="J60" s="53">
        <f t="shared" si="4"/>
        <v>2593500000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740</v>
      </c>
      <c r="H61" s="36">
        <f t="shared" si="2"/>
        <v>1</v>
      </c>
      <c r="I61" s="11">
        <f t="shared" si="3"/>
        <v>739000000</v>
      </c>
      <c r="J61" s="53">
        <f t="shared" si="4"/>
        <v>739000000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740</v>
      </c>
      <c r="H62" s="36">
        <f t="shared" si="2"/>
        <v>1</v>
      </c>
      <c r="I62" s="11">
        <f t="shared" si="3"/>
        <v>2217000000</v>
      </c>
      <c r="J62" s="53">
        <f t="shared" si="4"/>
        <v>2217000000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738</v>
      </c>
      <c r="H63" s="36">
        <f t="shared" si="2"/>
        <v>0</v>
      </c>
      <c r="I63" s="11">
        <f t="shared" si="3"/>
        <v>-147600000</v>
      </c>
      <c r="J63" s="53">
        <f t="shared" si="4"/>
        <v>0</v>
      </c>
      <c r="K63" s="53">
        <f t="shared" si="5"/>
        <v>-147600000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733</v>
      </c>
      <c r="H64" s="36">
        <f t="shared" si="2"/>
        <v>0</v>
      </c>
      <c r="I64" s="11">
        <f t="shared" si="3"/>
        <v>-36650000</v>
      </c>
      <c r="J64" s="53">
        <f t="shared" si="4"/>
        <v>0</v>
      </c>
      <c r="K64" s="53">
        <f t="shared" si="5"/>
        <v>-36650000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729</v>
      </c>
      <c r="H65" s="36">
        <f t="shared" si="2"/>
        <v>0</v>
      </c>
      <c r="I65" s="11">
        <f t="shared" si="3"/>
        <v>-145800000</v>
      </c>
      <c r="J65" s="53">
        <f t="shared" si="4"/>
        <v>0</v>
      </c>
      <c r="K65" s="53">
        <f t="shared" si="5"/>
        <v>-145800000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726</v>
      </c>
      <c r="H66" s="36">
        <f t="shared" si="2"/>
        <v>0</v>
      </c>
      <c r="I66" s="11">
        <f t="shared" si="3"/>
        <v>-123420000</v>
      </c>
      <c r="J66" s="53">
        <f t="shared" si="4"/>
        <v>0</v>
      </c>
      <c r="K66" s="53">
        <f t="shared" si="5"/>
        <v>-123420000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725</v>
      </c>
      <c r="H67" s="36">
        <f t="shared" ref="H67:H131" si="8">IF(B67&gt;0,1,0)</f>
        <v>1</v>
      </c>
      <c r="I67" s="11">
        <f t="shared" ref="I67:I119" si="9">B67*(G67-H67)</f>
        <v>66119300</v>
      </c>
      <c r="J67" s="53">
        <f t="shared" ref="J67:J131" si="10">C67*(G67-H67)</f>
        <v>47583452</v>
      </c>
      <c r="K67" s="53">
        <f t="shared" ref="K67:K131" si="11">D67*(G67-H67)</f>
        <v>18535848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707</v>
      </c>
      <c r="H68" s="36">
        <f t="shared" si="8"/>
        <v>0</v>
      </c>
      <c r="I68" s="11">
        <f t="shared" si="9"/>
        <v>-102515000</v>
      </c>
      <c r="J68" s="53">
        <f t="shared" si="10"/>
        <v>0</v>
      </c>
      <c r="K68" s="53">
        <f t="shared" si="11"/>
        <v>-102515000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700</v>
      </c>
      <c r="H69" s="36">
        <f t="shared" si="8"/>
        <v>1</v>
      </c>
      <c r="I69" s="11">
        <f t="shared" si="9"/>
        <v>685020000</v>
      </c>
      <c r="J69" s="53">
        <f t="shared" si="10"/>
        <v>0</v>
      </c>
      <c r="K69" s="53">
        <f t="shared" si="11"/>
        <v>685020000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697</v>
      </c>
      <c r="H70" s="36">
        <f t="shared" si="8"/>
        <v>0</v>
      </c>
      <c r="I70" s="11">
        <f t="shared" si="9"/>
        <v>-32062000</v>
      </c>
      <c r="J70" s="53">
        <f t="shared" si="10"/>
        <v>0</v>
      </c>
      <c r="K70" s="53">
        <f t="shared" si="11"/>
        <v>-32062000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695</v>
      </c>
      <c r="H71" s="36">
        <f t="shared" si="8"/>
        <v>1</v>
      </c>
      <c r="I71" s="11">
        <f t="shared" si="9"/>
        <v>80044572</v>
      </c>
      <c r="J71" s="53">
        <f t="shared" si="10"/>
        <v>72045528</v>
      </c>
      <c r="K71" s="53">
        <f t="shared" si="11"/>
        <v>7999044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694</v>
      </c>
      <c r="H72" s="36">
        <f t="shared" si="8"/>
        <v>0</v>
      </c>
      <c r="I72" s="11">
        <f t="shared" si="9"/>
        <v>-105466486</v>
      </c>
      <c r="J72" s="53">
        <f t="shared" si="10"/>
        <v>0</v>
      </c>
      <c r="K72" s="53">
        <f t="shared" si="11"/>
        <v>-105466486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693</v>
      </c>
      <c r="H73" s="36">
        <f t="shared" si="8"/>
        <v>0</v>
      </c>
      <c r="I73" s="11">
        <f t="shared" si="9"/>
        <v>-558211500</v>
      </c>
      <c r="J73" s="53">
        <f t="shared" si="10"/>
        <v>0</v>
      </c>
      <c r="K73" s="53">
        <f t="shared" si="11"/>
        <v>-558211500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686</v>
      </c>
      <c r="H74" s="36">
        <f t="shared" si="8"/>
        <v>1</v>
      </c>
      <c r="I74" s="11">
        <f t="shared" si="9"/>
        <v>4791575000</v>
      </c>
      <c r="J74" s="53">
        <f t="shared" si="10"/>
        <v>0</v>
      </c>
      <c r="K74" s="53">
        <f t="shared" si="11"/>
        <v>4791575000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685</v>
      </c>
      <c r="H75" s="36">
        <f t="shared" si="8"/>
        <v>1</v>
      </c>
      <c r="I75" s="11">
        <f t="shared" si="9"/>
        <v>2052000000</v>
      </c>
      <c r="J75" s="53">
        <f t="shared" si="10"/>
        <v>0</v>
      </c>
      <c r="K75" s="53">
        <f t="shared" si="11"/>
        <v>2052000000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683</v>
      </c>
      <c r="H76" s="36">
        <f t="shared" si="8"/>
        <v>1</v>
      </c>
      <c r="I76" s="11">
        <f t="shared" si="9"/>
        <v>2046000000</v>
      </c>
      <c r="J76" s="53">
        <f t="shared" si="10"/>
        <v>0</v>
      </c>
      <c r="K76" s="53">
        <f t="shared" si="11"/>
        <v>2046000000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682</v>
      </c>
      <c r="H77" s="36">
        <f t="shared" si="8"/>
        <v>1</v>
      </c>
      <c r="I77" s="11">
        <f t="shared" si="9"/>
        <v>2043000000</v>
      </c>
      <c r="J77" s="53">
        <f t="shared" si="10"/>
        <v>0</v>
      </c>
      <c r="K77" s="53">
        <f t="shared" si="11"/>
        <v>2043000000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681</v>
      </c>
      <c r="H78" s="36">
        <f t="shared" si="8"/>
        <v>0</v>
      </c>
      <c r="I78" s="11">
        <f t="shared" si="9"/>
        <v>-2179200000</v>
      </c>
      <c r="J78" s="53">
        <f t="shared" si="10"/>
        <v>-2179200000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680</v>
      </c>
      <c r="H79" s="36">
        <f t="shared" si="8"/>
        <v>0</v>
      </c>
      <c r="I79" s="11">
        <f t="shared" si="9"/>
        <v>-544000000</v>
      </c>
      <c r="J79" s="53">
        <f t="shared" si="10"/>
        <v>-544000000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679</v>
      </c>
      <c r="H80" s="36">
        <f t="shared" si="8"/>
        <v>0</v>
      </c>
      <c r="I80" s="11">
        <f t="shared" si="9"/>
        <v>-32858847</v>
      </c>
      <c r="J80" s="53">
        <f t="shared" si="10"/>
        <v>0</v>
      </c>
      <c r="K80" s="53">
        <f t="shared" si="11"/>
        <v>-32858847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678</v>
      </c>
      <c r="H81" s="36">
        <f t="shared" si="8"/>
        <v>0</v>
      </c>
      <c r="I81" s="11">
        <f t="shared" si="9"/>
        <v>-94920000</v>
      </c>
      <c r="J81" s="53">
        <f t="shared" si="10"/>
        <v>0</v>
      </c>
      <c r="K81" s="53">
        <f t="shared" si="11"/>
        <v>-94920000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677</v>
      </c>
      <c r="H82" s="36">
        <f t="shared" si="8"/>
        <v>0</v>
      </c>
      <c r="I82" s="11">
        <f t="shared" si="9"/>
        <v>-169250000</v>
      </c>
      <c r="J82" s="53">
        <f t="shared" si="10"/>
        <v>0</v>
      </c>
      <c r="K82" s="53">
        <f t="shared" si="11"/>
        <v>-169250000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676</v>
      </c>
      <c r="H83" s="36">
        <f t="shared" si="8"/>
        <v>0</v>
      </c>
      <c r="I83" s="11">
        <f t="shared" si="9"/>
        <v>-135200000</v>
      </c>
      <c r="J83" s="53">
        <f t="shared" si="10"/>
        <v>0</v>
      </c>
      <c r="K83" s="53">
        <f t="shared" si="11"/>
        <v>-135200000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673</v>
      </c>
      <c r="H84" s="36">
        <f t="shared" si="8"/>
        <v>1</v>
      </c>
      <c r="I84" s="11">
        <f t="shared" si="9"/>
        <v>1098854400</v>
      </c>
      <c r="J84" s="53">
        <f t="shared" si="10"/>
        <v>0</v>
      </c>
      <c r="K84" s="53">
        <f t="shared" si="11"/>
        <v>1098854400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669</v>
      </c>
      <c r="H85" s="36">
        <f t="shared" si="8"/>
        <v>1</v>
      </c>
      <c r="I85" s="11">
        <f t="shared" si="9"/>
        <v>1670000000</v>
      </c>
      <c r="J85" s="53">
        <f t="shared" si="10"/>
        <v>0</v>
      </c>
      <c r="K85" s="53">
        <f t="shared" si="11"/>
        <v>1670000000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665</v>
      </c>
      <c r="H86" s="36">
        <f t="shared" si="8"/>
        <v>1</v>
      </c>
      <c r="I86" s="11">
        <f t="shared" si="9"/>
        <v>123703200</v>
      </c>
      <c r="J86" s="53">
        <f t="shared" si="10"/>
        <v>56406800</v>
      </c>
      <c r="K86" s="53">
        <f t="shared" si="11"/>
        <v>67296400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662</v>
      </c>
      <c r="H87" s="36">
        <f t="shared" si="8"/>
        <v>0</v>
      </c>
      <c r="I87" s="11">
        <f t="shared" si="9"/>
        <v>-132400000</v>
      </c>
      <c r="J87" s="53">
        <f t="shared" si="10"/>
        <v>0</v>
      </c>
      <c r="K87" s="53">
        <f t="shared" si="11"/>
        <v>-132400000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661</v>
      </c>
      <c r="H88" s="36">
        <f t="shared" si="8"/>
        <v>0</v>
      </c>
      <c r="I88" s="11">
        <f t="shared" si="9"/>
        <v>-77998000</v>
      </c>
      <c r="J88" s="53">
        <f t="shared" si="10"/>
        <v>-45609000</v>
      </c>
      <c r="K88" s="53">
        <f t="shared" si="11"/>
        <v>-32389000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653</v>
      </c>
      <c r="H89" s="36">
        <f t="shared" si="8"/>
        <v>0</v>
      </c>
      <c r="I89" s="11">
        <f t="shared" si="9"/>
        <v>-2090187700</v>
      </c>
      <c r="J89" s="53">
        <f t="shared" si="10"/>
        <v>0</v>
      </c>
      <c r="K89" s="53">
        <f t="shared" si="11"/>
        <v>-2090187700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652</v>
      </c>
      <c r="H90" s="36">
        <f t="shared" si="8"/>
        <v>0</v>
      </c>
      <c r="I90" s="11">
        <f t="shared" si="9"/>
        <v>-2086986800</v>
      </c>
      <c r="J90" s="53">
        <f t="shared" si="10"/>
        <v>0</v>
      </c>
      <c r="K90" s="53">
        <f t="shared" si="11"/>
        <v>-2086986800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651</v>
      </c>
      <c r="H91" s="36">
        <f t="shared" si="8"/>
        <v>0</v>
      </c>
      <c r="I91" s="11">
        <f t="shared" si="9"/>
        <v>-2083785900</v>
      </c>
      <c r="J91" s="53">
        <f t="shared" si="10"/>
        <v>0</v>
      </c>
      <c r="K91" s="53">
        <f t="shared" si="11"/>
        <v>-2083785900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650</v>
      </c>
      <c r="H92" s="36">
        <f t="shared" si="8"/>
        <v>0</v>
      </c>
      <c r="I92" s="11">
        <f t="shared" si="9"/>
        <v>-2080585000</v>
      </c>
      <c r="J92" s="53">
        <f t="shared" si="10"/>
        <v>0</v>
      </c>
      <c r="K92" s="53">
        <f t="shared" si="11"/>
        <v>-2080585000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649</v>
      </c>
      <c r="H93" s="36">
        <f t="shared" si="8"/>
        <v>0</v>
      </c>
      <c r="I93" s="11">
        <f t="shared" si="9"/>
        <v>-2077384100</v>
      </c>
      <c r="J93" s="53">
        <f t="shared" si="10"/>
        <v>0</v>
      </c>
      <c r="K93" s="53">
        <f t="shared" si="11"/>
        <v>-2077384100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648</v>
      </c>
      <c r="H94" s="36">
        <f t="shared" si="8"/>
        <v>0</v>
      </c>
      <c r="I94" s="11">
        <f t="shared" si="9"/>
        <v>-2074183200</v>
      </c>
      <c r="J94" s="53">
        <f t="shared" si="10"/>
        <v>0</v>
      </c>
      <c r="K94" s="53">
        <f t="shared" si="11"/>
        <v>-2074183200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646</v>
      </c>
      <c r="H95" s="36">
        <f t="shared" si="8"/>
        <v>0</v>
      </c>
      <c r="I95" s="11">
        <f t="shared" si="9"/>
        <v>-773001016</v>
      </c>
      <c r="J95" s="53">
        <f t="shared" si="10"/>
        <v>0</v>
      </c>
      <c r="K95" s="53">
        <f t="shared" si="11"/>
        <v>-773001016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636</v>
      </c>
      <c r="H96" s="36">
        <f t="shared" si="8"/>
        <v>0</v>
      </c>
      <c r="I96" s="11">
        <f t="shared" si="9"/>
        <v>-127200000</v>
      </c>
      <c r="J96" s="53">
        <f t="shared" si="10"/>
        <v>0</v>
      </c>
      <c r="K96" s="53">
        <f t="shared" si="11"/>
        <v>-127200000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635</v>
      </c>
      <c r="H97" s="36">
        <f t="shared" si="8"/>
        <v>1</v>
      </c>
      <c r="I97" s="11">
        <f t="shared" si="9"/>
        <v>101159772</v>
      </c>
      <c r="J97" s="53">
        <f t="shared" si="10"/>
        <v>43699084</v>
      </c>
      <c r="K97" s="53">
        <f t="shared" si="11"/>
        <v>57460688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630</v>
      </c>
      <c r="H98" s="36">
        <f t="shared" si="8"/>
        <v>1</v>
      </c>
      <c r="I98" s="11">
        <f t="shared" si="9"/>
        <v>71937472</v>
      </c>
      <c r="J98" s="53">
        <f t="shared" si="10"/>
        <v>0</v>
      </c>
      <c r="K98" s="53">
        <f t="shared" si="11"/>
        <v>71937472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627</v>
      </c>
      <c r="H99" s="36">
        <f t="shared" si="8"/>
        <v>0</v>
      </c>
      <c r="I99" s="11">
        <f t="shared" si="9"/>
        <v>-830775000</v>
      </c>
      <c r="J99" s="53">
        <f t="shared" si="10"/>
        <v>0</v>
      </c>
      <c r="K99" s="53">
        <f t="shared" si="11"/>
        <v>-830775000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622</v>
      </c>
      <c r="H100" s="36">
        <f t="shared" si="8"/>
        <v>1</v>
      </c>
      <c r="I100" s="11">
        <f t="shared" si="9"/>
        <v>822825000</v>
      </c>
      <c r="J100" s="53">
        <f t="shared" si="10"/>
        <v>0</v>
      </c>
      <c r="K100" s="53">
        <f t="shared" si="11"/>
        <v>822825000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605</v>
      </c>
      <c r="H101" s="36">
        <f t="shared" si="8"/>
        <v>1</v>
      </c>
      <c r="I101" s="11">
        <f t="shared" si="9"/>
        <v>40374380</v>
      </c>
      <c r="J101" s="53">
        <f t="shared" si="10"/>
        <v>40374380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602</v>
      </c>
      <c r="H102" s="36">
        <f t="shared" si="8"/>
        <v>1</v>
      </c>
      <c r="I102" s="11">
        <f t="shared" si="9"/>
        <v>1803000000</v>
      </c>
      <c r="J102" s="53">
        <f t="shared" si="10"/>
        <v>0</v>
      </c>
      <c r="K102" s="53">
        <f t="shared" si="11"/>
        <v>1803000000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595</v>
      </c>
      <c r="H103" s="36">
        <f t="shared" si="8"/>
        <v>0</v>
      </c>
      <c r="I103" s="11">
        <f t="shared" si="9"/>
        <v>-595000000</v>
      </c>
      <c r="J103" s="53">
        <f t="shared" si="10"/>
        <v>-595000000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585</v>
      </c>
      <c r="H104" s="36">
        <f t="shared" si="8"/>
        <v>1</v>
      </c>
      <c r="I104" s="11">
        <f t="shared" si="9"/>
        <v>1752000000</v>
      </c>
      <c r="J104" s="53">
        <f t="shared" si="10"/>
        <v>1752000000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584</v>
      </c>
      <c r="H105" s="36">
        <f t="shared" si="8"/>
        <v>1</v>
      </c>
      <c r="I105" s="11">
        <f t="shared" si="9"/>
        <v>652960000</v>
      </c>
      <c r="J105" s="53">
        <f t="shared" si="10"/>
        <v>652960000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584</v>
      </c>
      <c r="H106" s="36">
        <f t="shared" si="8"/>
        <v>0</v>
      </c>
      <c r="I106" s="11">
        <f t="shared" si="9"/>
        <v>-1752000000</v>
      </c>
      <c r="J106" s="53">
        <f t="shared" si="10"/>
        <v>0</v>
      </c>
      <c r="K106" s="53">
        <f t="shared" si="11"/>
        <v>-1752000000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575</v>
      </c>
      <c r="H107" s="36">
        <f t="shared" si="8"/>
        <v>1</v>
      </c>
      <c r="I107" s="11">
        <f t="shared" si="9"/>
        <v>51943556</v>
      </c>
      <c r="J107" s="53">
        <f t="shared" si="10"/>
        <v>43116010</v>
      </c>
      <c r="K107" s="53">
        <f t="shared" si="11"/>
        <v>8827546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573</v>
      </c>
      <c r="H108" s="36">
        <f t="shared" si="8"/>
        <v>0</v>
      </c>
      <c r="I108" s="11">
        <f t="shared" si="9"/>
        <v>-974501100</v>
      </c>
      <c r="J108" s="53">
        <f t="shared" si="10"/>
        <v>0</v>
      </c>
      <c r="K108" s="53">
        <f t="shared" si="11"/>
        <v>-974501100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569</v>
      </c>
      <c r="H109" s="36">
        <f t="shared" si="8"/>
        <v>0</v>
      </c>
      <c r="I109" s="11">
        <f t="shared" si="9"/>
        <v>-569284500</v>
      </c>
      <c r="J109" s="53">
        <f t="shared" si="10"/>
        <v>0</v>
      </c>
      <c r="K109" s="53">
        <f t="shared" si="11"/>
        <v>-569284500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566</v>
      </c>
      <c r="H110" s="36">
        <f t="shared" si="8"/>
        <v>1</v>
      </c>
      <c r="I110" s="11">
        <f t="shared" si="9"/>
        <v>11300000000</v>
      </c>
      <c r="J110" s="53">
        <f t="shared" si="10"/>
        <v>0</v>
      </c>
      <c r="K110" s="53">
        <f t="shared" si="11"/>
        <v>11300000000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546</v>
      </c>
      <c r="H111" s="36">
        <f t="shared" si="8"/>
        <v>1</v>
      </c>
      <c r="I111" s="11">
        <f t="shared" si="9"/>
        <v>95199510</v>
      </c>
      <c r="J111" s="53">
        <f t="shared" si="10"/>
        <v>47612835</v>
      </c>
      <c r="K111" s="53">
        <f t="shared" si="11"/>
        <v>47586675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530</v>
      </c>
      <c r="H112" s="36">
        <f t="shared" si="8"/>
        <v>0</v>
      </c>
      <c r="I112" s="11">
        <f t="shared" si="9"/>
        <v>-15052000000</v>
      </c>
      <c r="J112" s="53">
        <f t="shared" si="10"/>
        <v>0</v>
      </c>
      <c r="K112" s="53">
        <f t="shared" si="11"/>
        <v>-15052000000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515</v>
      </c>
      <c r="H113" s="36">
        <f t="shared" si="8"/>
        <v>1</v>
      </c>
      <c r="I113" s="11">
        <f t="shared" si="9"/>
        <v>83802560</v>
      </c>
      <c r="J113" s="53">
        <f t="shared" si="10"/>
        <v>62970654</v>
      </c>
      <c r="K113" s="53">
        <f t="shared" si="11"/>
        <v>20831906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515</v>
      </c>
      <c r="H114" s="36">
        <f t="shared" si="8"/>
        <v>0</v>
      </c>
      <c r="I114" s="11">
        <f t="shared" si="9"/>
        <v>-2935500</v>
      </c>
      <c r="J114" s="53">
        <f t="shared" si="10"/>
        <v>-1287500</v>
      </c>
      <c r="K114" s="53">
        <f t="shared" si="11"/>
        <v>-1648000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502</v>
      </c>
      <c r="H115" s="36">
        <f t="shared" si="8"/>
        <v>0</v>
      </c>
      <c r="I115" s="11">
        <f t="shared" si="9"/>
        <v>0</v>
      </c>
      <c r="J115" s="53">
        <f t="shared" si="10"/>
        <v>251000000</v>
      </c>
      <c r="K115" s="53">
        <f t="shared" si="11"/>
        <v>-251000000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494</v>
      </c>
      <c r="H116" s="36">
        <f t="shared" si="8"/>
        <v>0</v>
      </c>
      <c r="I116" s="11">
        <f t="shared" si="9"/>
        <v>-79040000</v>
      </c>
      <c r="J116" s="53">
        <f t="shared" si="10"/>
        <v>0</v>
      </c>
      <c r="K116" s="53">
        <f t="shared" si="11"/>
        <v>-79040000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485</v>
      </c>
      <c r="H117" s="36">
        <f t="shared" si="8"/>
        <v>1</v>
      </c>
      <c r="I117" s="11">
        <f t="shared" si="9"/>
        <v>716320</v>
      </c>
      <c r="J117" s="53">
        <f t="shared" si="10"/>
        <v>51759444</v>
      </c>
      <c r="K117" s="53">
        <f t="shared" si="11"/>
        <v>-51043124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463</v>
      </c>
      <c r="H118" s="36">
        <f t="shared" si="8"/>
        <v>1</v>
      </c>
      <c r="I118" s="11">
        <f t="shared" si="9"/>
        <v>18202569000</v>
      </c>
      <c r="J118" s="53">
        <f t="shared" si="10"/>
        <v>0</v>
      </c>
      <c r="K118" s="53">
        <f t="shared" si="11"/>
        <v>18202569000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454</v>
      </c>
      <c r="H119" s="36">
        <f t="shared" si="8"/>
        <v>1</v>
      </c>
      <c r="I119" s="11">
        <f t="shared" si="9"/>
        <v>43271013</v>
      </c>
      <c r="J119" s="53">
        <f t="shared" si="10"/>
        <v>49854462</v>
      </c>
      <c r="K119" s="53">
        <f t="shared" si="11"/>
        <v>-6583449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450</v>
      </c>
      <c r="H120" s="11">
        <f t="shared" si="8"/>
        <v>1</v>
      </c>
      <c r="I120" s="11">
        <f t="shared" ref="I120:I221" si="13">B120*(G120-H120)</f>
        <v>898000000</v>
      </c>
      <c r="J120" s="11">
        <f t="shared" si="10"/>
        <v>0</v>
      </c>
      <c r="K120" s="11">
        <f t="shared" si="11"/>
        <v>898000000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424</v>
      </c>
      <c r="H121" s="11">
        <f t="shared" si="8"/>
        <v>1</v>
      </c>
      <c r="I121" s="11">
        <f t="shared" si="13"/>
        <v>1099800000</v>
      </c>
      <c r="J121" s="11">
        <f t="shared" si="10"/>
        <v>0</v>
      </c>
      <c r="K121" s="11">
        <f t="shared" si="11"/>
        <v>1099800000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423</v>
      </c>
      <c r="H122" s="11">
        <f t="shared" si="8"/>
        <v>1</v>
      </c>
      <c r="I122" s="11">
        <f t="shared" si="13"/>
        <v>162280522</v>
      </c>
      <c r="J122" s="11">
        <f t="shared" si="10"/>
        <v>46803176</v>
      </c>
      <c r="K122" s="11">
        <f t="shared" si="11"/>
        <v>115477346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422</v>
      </c>
      <c r="H123" s="11">
        <f t="shared" si="8"/>
        <v>0</v>
      </c>
      <c r="I123" s="11">
        <f t="shared" si="13"/>
        <v>0</v>
      </c>
      <c r="J123" s="11">
        <f t="shared" si="10"/>
        <v>337600000</v>
      </c>
      <c r="K123" s="11">
        <f t="shared" si="11"/>
        <v>-337600000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408</v>
      </c>
      <c r="H124" s="11">
        <f t="shared" si="8"/>
        <v>0</v>
      </c>
      <c r="I124" s="11">
        <f t="shared" si="13"/>
        <v>-1224000000</v>
      </c>
      <c r="J124" s="11">
        <f t="shared" si="10"/>
        <v>0</v>
      </c>
      <c r="K124" s="11">
        <f t="shared" si="11"/>
        <v>-1224000000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393</v>
      </c>
      <c r="H125" s="11">
        <f t="shared" si="8"/>
        <v>1</v>
      </c>
      <c r="I125" s="11">
        <f t="shared" si="13"/>
        <v>157078320</v>
      </c>
      <c r="J125" s="11">
        <f t="shared" si="10"/>
        <v>46599000</v>
      </c>
      <c r="K125" s="11">
        <f t="shared" si="11"/>
        <v>110479320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393</v>
      </c>
      <c r="H126" s="11">
        <f t="shared" si="8"/>
        <v>1</v>
      </c>
      <c r="I126" s="11">
        <f t="shared" si="13"/>
        <v>16464000000</v>
      </c>
      <c r="J126" s="11">
        <f t="shared" si="10"/>
        <v>0</v>
      </c>
      <c r="K126" s="11">
        <f t="shared" si="11"/>
        <v>16464000000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368</v>
      </c>
      <c r="H127" s="11">
        <f t="shared" si="8"/>
        <v>0</v>
      </c>
      <c r="I127" s="11">
        <f t="shared" si="13"/>
        <v>-1840000</v>
      </c>
      <c r="J127" s="11">
        <f t="shared" si="10"/>
        <v>0</v>
      </c>
      <c r="K127" s="11">
        <f t="shared" si="11"/>
        <v>-1840000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362</v>
      </c>
      <c r="H128" s="11">
        <f t="shared" si="8"/>
        <v>1</v>
      </c>
      <c r="I128" s="11">
        <f t="shared" si="13"/>
        <v>278466014</v>
      </c>
      <c r="J128" s="11">
        <f t="shared" si="10"/>
        <v>43571617</v>
      </c>
      <c r="K128" s="11">
        <f t="shared" si="11"/>
        <v>234894397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359</v>
      </c>
      <c r="H129" s="11">
        <f t="shared" si="8"/>
        <v>1</v>
      </c>
      <c r="I129" s="11">
        <f t="shared" si="13"/>
        <v>895000000</v>
      </c>
      <c r="J129" s="11">
        <f t="shared" si="10"/>
        <v>0</v>
      </c>
      <c r="K129" s="11">
        <f t="shared" si="11"/>
        <v>895000000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345</v>
      </c>
      <c r="H130" s="11">
        <f t="shared" si="8"/>
        <v>0</v>
      </c>
      <c r="I130" s="11">
        <f t="shared" si="13"/>
        <v>-345000000</v>
      </c>
      <c r="J130" s="11">
        <f t="shared" si="10"/>
        <v>-345000000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340</v>
      </c>
      <c r="H131" s="11">
        <f t="shared" si="8"/>
        <v>0</v>
      </c>
      <c r="I131" s="11">
        <f t="shared" si="13"/>
        <v>-17000000000</v>
      </c>
      <c r="J131" s="11">
        <f t="shared" si="10"/>
        <v>0</v>
      </c>
      <c r="K131" s="11">
        <f t="shared" si="11"/>
        <v>-17000000000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332</v>
      </c>
      <c r="H132" s="11">
        <f t="shared" ref="H132:H221" si="15">IF(B132&gt;0,1,0)</f>
        <v>1</v>
      </c>
      <c r="I132" s="11">
        <f t="shared" si="13"/>
        <v>203328997</v>
      </c>
      <c r="J132" s="11">
        <f t="shared" ref="J132:J206" si="16">C132*(G132-H132)</f>
        <v>35076401</v>
      </c>
      <c r="K132" s="11">
        <f t="shared" ref="K132:K221" si="17">D132*(G132-H132)</f>
        <v>168252596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328</v>
      </c>
      <c r="H133" s="11">
        <f t="shared" si="15"/>
        <v>0</v>
      </c>
      <c r="I133" s="11">
        <f t="shared" si="13"/>
        <v>-397109600</v>
      </c>
      <c r="J133" s="11">
        <f t="shared" si="16"/>
        <v>0</v>
      </c>
      <c r="K133" s="11">
        <f t="shared" si="17"/>
        <v>-397109600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319</v>
      </c>
      <c r="H134" s="11">
        <f t="shared" si="15"/>
        <v>0</v>
      </c>
      <c r="I134" s="11">
        <f t="shared" si="13"/>
        <v>-20735000</v>
      </c>
      <c r="J134" s="11">
        <f t="shared" si="16"/>
        <v>0</v>
      </c>
      <c r="K134" s="11">
        <f t="shared" si="17"/>
        <v>-20735000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319</v>
      </c>
      <c r="H135" s="11">
        <f t="shared" si="15"/>
        <v>0</v>
      </c>
      <c r="I135" s="11">
        <f t="shared" si="13"/>
        <v>-10303700</v>
      </c>
      <c r="J135" s="11">
        <f t="shared" si="16"/>
        <v>0</v>
      </c>
      <c r="K135" s="11">
        <f t="shared" si="17"/>
        <v>-10303700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311</v>
      </c>
      <c r="H136" s="11">
        <f t="shared" si="15"/>
        <v>0</v>
      </c>
      <c r="I136" s="11">
        <f t="shared" si="13"/>
        <v>-311000000</v>
      </c>
      <c r="J136" s="11">
        <f t="shared" si="16"/>
        <v>-311000000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302</v>
      </c>
      <c r="H137" s="11">
        <f t="shared" si="15"/>
        <v>1</v>
      </c>
      <c r="I137" s="11">
        <f t="shared" si="13"/>
        <v>87552773</v>
      </c>
      <c r="J137" s="11">
        <f t="shared" si="16"/>
        <v>29305059</v>
      </c>
      <c r="K137" s="11">
        <f t="shared" si="17"/>
        <v>58247714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285</v>
      </c>
      <c r="H138" s="11">
        <f t="shared" si="15"/>
        <v>0</v>
      </c>
      <c r="I138" s="11">
        <f t="shared" si="13"/>
        <v>-285142500</v>
      </c>
      <c r="J138" s="11">
        <f t="shared" si="16"/>
        <v>-285142500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273</v>
      </c>
      <c r="H139" s="11">
        <f t="shared" si="15"/>
        <v>1</v>
      </c>
      <c r="I139" s="11">
        <f t="shared" si="13"/>
        <v>76769280</v>
      </c>
      <c r="J139" s="11">
        <f t="shared" si="16"/>
        <v>24155504</v>
      </c>
      <c r="K139" s="11">
        <f t="shared" si="17"/>
        <v>52613776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270</v>
      </c>
      <c r="H140" s="11">
        <f t="shared" si="15"/>
        <v>1</v>
      </c>
      <c r="I140" s="11">
        <f t="shared" si="13"/>
        <v>403500000</v>
      </c>
      <c r="J140" s="11">
        <f t="shared" si="16"/>
        <v>0</v>
      </c>
      <c r="K140" s="11">
        <f t="shared" si="17"/>
        <v>403500000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257</v>
      </c>
      <c r="H141" s="11">
        <f t="shared" si="15"/>
        <v>0</v>
      </c>
      <c r="I141" s="11">
        <f t="shared" si="13"/>
        <v>0</v>
      </c>
      <c r="J141" s="11">
        <f t="shared" si="16"/>
        <v>-257000000</v>
      </c>
      <c r="K141" s="11">
        <f t="shared" si="17"/>
        <v>257000000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243</v>
      </c>
      <c r="H142" s="11">
        <f t="shared" si="15"/>
        <v>1</v>
      </c>
      <c r="I142" s="11">
        <f t="shared" si="13"/>
        <v>70396106</v>
      </c>
      <c r="J142" s="11">
        <f t="shared" si="16"/>
        <v>19607324</v>
      </c>
      <c r="K142" s="11">
        <f t="shared" si="17"/>
        <v>50788782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223</v>
      </c>
      <c r="H143" s="11">
        <f t="shared" si="15"/>
        <v>0</v>
      </c>
      <c r="I143" s="11">
        <f t="shared" si="13"/>
        <v>0</v>
      </c>
      <c r="J143" s="11">
        <f t="shared" si="16"/>
        <v>-223000000</v>
      </c>
      <c r="K143" s="11">
        <f t="shared" si="17"/>
        <v>223000000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213</v>
      </c>
      <c r="H144" s="11">
        <f t="shared" si="15"/>
        <v>1</v>
      </c>
      <c r="I144" s="11">
        <f t="shared" si="13"/>
        <v>62508624</v>
      </c>
      <c r="J144" s="11">
        <f t="shared" si="16"/>
        <v>15827284</v>
      </c>
      <c r="K144" s="11">
        <f t="shared" si="17"/>
        <v>46681340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198</v>
      </c>
      <c r="H145" s="11">
        <f t="shared" si="15"/>
        <v>0</v>
      </c>
      <c r="I145" s="11">
        <f t="shared" si="13"/>
        <v>-1980000</v>
      </c>
      <c r="J145" s="11">
        <f t="shared" si="16"/>
        <v>-990000</v>
      </c>
      <c r="K145" s="11">
        <f t="shared" si="17"/>
        <v>-990000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193</v>
      </c>
      <c r="H146" s="11">
        <f t="shared" si="15"/>
        <v>0</v>
      </c>
      <c r="I146" s="11">
        <f t="shared" si="13"/>
        <v>-193096500</v>
      </c>
      <c r="J146" s="11">
        <f t="shared" si="16"/>
        <v>-193096500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187</v>
      </c>
      <c r="H147" s="11">
        <f t="shared" si="15"/>
        <v>0</v>
      </c>
      <c r="I147" s="11">
        <f t="shared" si="13"/>
        <v>-5049000000</v>
      </c>
      <c r="J147" s="11">
        <f t="shared" si="16"/>
        <v>0</v>
      </c>
      <c r="K147" s="11">
        <f t="shared" si="17"/>
        <v>-5049000000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184</v>
      </c>
      <c r="H148" s="11">
        <f t="shared" si="15"/>
        <v>1</v>
      </c>
      <c r="I148" s="11">
        <f t="shared" si="13"/>
        <v>46195788</v>
      </c>
      <c r="J148" s="11">
        <f t="shared" si="16"/>
        <v>11988330</v>
      </c>
      <c r="K148" s="11">
        <f t="shared" si="17"/>
        <v>34207458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21" si="18">B149-C149</f>
        <v>52400000</v>
      </c>
      <c r="E149" s="11" t="s">
        <v>1076</v>
      </c>
      <c r="F149" s="11">
        <v>7</v>
      </c>
      <c r="G149" s="36">
        <f t="shared" si="14"/>
        <v>176</v>
      </c>
      <c r="H149" s="11">
        <f t="shared" si="15"/>
        <v>1</v>
      </c>
      <c r="I149" s="11">
        <f t="shared" si="13"/>
        <v>9170000000</v>
      </c>
      <c r="J149" s="11">
        <f t="shared" si="16"/>
        <v>0</v>
      </c>
      <c r="K149" s="11">
        <f t="shared" si="17"/>
        <v>9170000000</v>
      </c>
    </row>
    <row r="150" spans="1:11" x14ac:dyDescent="0.25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169</v>
      </c>
      <c r="H150" s="11">
        <f t="shared" si="15"/>
        <v>0</v>
      </c>
      <c r="I150" s="11">
        <f t="shared" si="13"/>
        <v>-8788000000</v>
      </c>
      <c r="J150" s="11">
        <f t="shared" si="16"/>
        <v>0</v>
      </c>
      <c r="K150" s="11">
        <f t="shared" si="17"/>
        <v>-8788000000</v>
      </c>
    </row>
    <row r="151" spans="1:11" x14ac:dyDescent="0.25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164</v>
      </c>
      <c r="H151" s="103">
        <f t="shared" si="15"/>
        <v>0</v>
      </c>
      <c r="I151" s="103">
        <f t="shared" si="13"/>
        <v>-1312000000</v>
      </c>
      <c r="J151" s="103">
        <f t="shared" si="16"/>
        <v>-1110629484</v>
      </c>
      <c r="K151" s="11">
        <f t="shared" si="17"/>
        <v>-201370516</v>
      </c>
    </row>
    <row r="152" spans="1:11" x14ac:dyDescent="0.25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164</v>
      </c>
      <c r="H152" s="103">
        <f t="shared" si="15"/>
        <v>0</v>
      </c>
      <c r="I152" s="103">
        <f t="shared" si="13"/>
        <v>-5121720</v>
      </c>
      <c r="J152" s="103">
        <f t="shared" si="16"/>
        <v>0</v>
      </c>
      <c r="K152" s="103">
        <f t="shared" si="17"/>
        <v>-5121720</v>
      </c>
    </row>
    <row r="153" spans="1:11" x14ac:dyDescent="0.25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153</v>
      </c>
      <c r="H153" s="103">
        <f t="shared" si="15"/>
        <v>1</v>
      </c>
      <c r="I153" s="103">
        <f t="shared" si="13"/>
        <v>20533224</v>
      </c>
      <c r="J153" s="103">
        <f t="shared" si="16"/>
        <v>6251760</v>
      </c>
      <c r="K153" s="103">
        <f t="shared" si="17"/>
        <v>14281464</v>
      </c>
    </row>
    <row r="154" spans="1:11" x14ac:dyDescent="0.25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150</v>
      </c>
      <c r="H154" s="103">
        <f t="shared" si="15"/>
        <v>1</v>
      </c>
      <c r="I154" s="103">
        <f t="shared" si="13"/>
        <v>1016788218</v>
      </c>
      <c r="J154" s="103">
        <f t="shared" si="16"/>
        <v>1016788218</v>
      </c>
      <c r="K154" s="103">
        <f t="shared" si="17"/>
        <v>0</v>
      </c>
    </row>
    <row r="155" spans="1:11" x14ac:dyDescent="0.25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145</v>
      </c>
      <c r="H155" s="103">
        <f t="shared" si="15"/>
        <v>0</v>
      </c>
      <c r="I155" s="103">
        <f t="shared" si="13"/>
        <v>-29000000</v>
      </c>
      <c r="J155" s="103">
        <f t="shared" si="16"/>
        <v>0</v>
      </c>
      <c r="K155" s="103">
        <f t="shared" si="17"/>
        <v>-29000000</v>
      </c>
    </row>
    <row r="156" spans="1:11" x14ac:dyDescent="0.25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145</v>
      </c>
      <c r="H156" s="103">
        <f t="shared" si="15"/>
        <v>0</v>
      </c>
      <c r="I156" s="103">
        <f t="shared" si="13"/>
        <v>-35936800</v>
      </c>
      <c r="J156" s="103">
        <f t="shared" si="16"/>
        <v>0</v>
      </c>
      <c r="K156" s="103">
        <f t="shared" si="17"/>
        <v>-35936800</v>
      </c>
    </row>
    <row r="157" spans="1:11" x14ac:dyDescent="0.25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144</v>
      </c>
      <c r="H157" s="103">
        <f t="shared" si="15"/>
        <v>0</v>
      </c>
      <c r="I157" s="103">
        <f t="shared" si="13"/>
        <v>-23376960</v>
      </c>
      <c r="J157" s="103">
        <f t="shared" si="16"/>
        <v>0</v>
      </c>
      <c r="K157" s="103">
        <f t="shared" si="17"/>
        <v>-23376960</v>
      </c>
    </row>
    <row r="158" spans="1:11" x14ac:dyDescent="0.25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144</v>
      </c>
      <c r="H158" s="103">
        <f t="shared" si="15"/>
        <v>0</v>
      </c>
      <c r="I158" s="103">
        <f t="shared" si="13"/>
        <v>-432129600</v>
      </c>
      <c r="J158" s="103">
        <f t="shared" si="16"/>
        <v>0</v>
      </c>
      <c r="K158" s="103">
        <f t="shared" si="17"/>
        <v>-432129600</v>
      </c>
    </row>
    <row r="159" spans="1:11" x14ac:dyDescent="0.25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142</v>
      </c>
      <c r="H159" s="103">
        <f t="shared" si="15"/>
        <v>0</v>
      </c>
      <c r="I159" s="103">
        <f t="shared" si="13"/>
        <v>-142071000</v>
      </c>
      <c r="J159" s="103">
        <f t="shared" si="16"/>
        <v>0</v>
      </c>
      <c r="K159" s="103">
        <f t="shared" si="17"/>
        <v>-142071000</v>
      </c>
    </row>
    <row r="160" spans="1:11" x14ac:dyDescent="0.25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138</v>
      </c>
      <c r="H160" s="103">
        <f t="shared" si="15"/>
        <v>0</v>
      </c>
      <c r="I160" s="103">
        <f t="shared" si="13"/>
        <v>-13800000</v>
      </c>
      <c r="J160" s="103">
        <f t="shared" si="16"/>
        <v>0</v>
      </c>
      <c r="K160" s="103">
        <f t="shared" si="17"/>
        <v>-13800000</v>
      </c>
    </row>
    <row r="161" spans="1:13" x14ac:dyDescent="0.25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137</v>
      </c>
      <c r="H161" s="103">
        <f t="shared" si="15"/>
        <v>0</v>
      </c>
      <c r="I161" s="103">
        <f t="shared" si="13"/>
        <v>-274000000</v>
      </c>
      <c r="J161" s="103">
        <f t="shared" si="16"/>
        <v>0</v>
      </c>
      <c r="K161" s="103">
        <f t="shared" si="17"/>
        <v>-274000000</v>
      </c>
    </row>
    <row r="162" spans="1:13" x14ac:dyDescent="0.25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137</v>
      </c>
      <c r="H162" s="103">
        <f t="shared" si="15"/>
        <v>0</v>
      </c>
      <c r="I162" s="103">
        <f t="shared" si="13"/>
        <v>-137068500</v>
      </c>
      <c r="J162" s="103">
        <f t="shared" si="16"/>
        <v>0</v>
      </c>
      <c r="K162" s="103">
        <f t="shared" si="17"/>
        <v>-137068500</v>
      </c>
    </row>
    <row r="163" spans="1:13" x14ac:dyDescent="0.25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134</v>
      </c>
      <c r="H163" s="103">
        <f t="shared" si="15"/>
        <v>0</v>
      </c>
      <c r="I163" s="103">
        <f t="shared" si="13"/>
        <v>-670000</v>
      </c>
      <c r="J163" s="103">
        <f t="shared" si="16"/>
        <v>0</v>
      </c>
      <c r="K163" s="103">
        <f t="shared" si="17"/>
        <v>-670000</v>
      </c>
    </row>
    <row r="164" spans="1:13" x14ac:dyDescent="0.25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124</v>
      </c>
      <c r="H164" s="103">
        <f t="shared" si="15"/>
        <v>1</v>
      </c>
      <c r="I164" s="103">
        <f t="shared" si="13"/>
        <v>369000000</v>
      </c>
      <c r="J164" s="103">
        <f t="shared" si="16"/>
        <v>0</v>
      </c>
      <c r="K164" s="103">
        <f t="shared" si="17"/>
        <v>369000000</v>
      </c>
    </row>
    <row r="165" spans="1:13" x14ac:dyDescent="0.25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123</v>
      </c>
      <c r="H165" s="103">
        <f t="shared" si="15"/>
        <v>1</v>
      </c>
      <c r="I165" s="103">
        <f t="shared" si="13"/>
        <v>366000000</v>
      </c>
      <c r="J165" s="103">
        <f t="shared" si="16"/>
        <v>0</v>
      </c>
      <c r="K165" s="103">
        <f t="shared" si="17"/>
        <v>366000000</v>
      </c>
    </row>
    <row r="166" spans="1:13" x14ac:dyDescent="0.25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122</v>
      </c>
      <c r="H166" s="103">
        <f t="shared" si="15"/>
        <v>1</v>
      </c>
      <c r="I166" s="103">
        <f t="shared" si="13"/>
        <v>2457994</v>
      </c>
      <c r="J166" s="103">
        <f t="shared" si="16"/>
        <v>7240882</v>
      </c>
      <c r="K166" s="103">
        <f t="shared" si="17"/>
        <v>-4782888</v>
      </c>
    </row>
    <row r="167" spans="1:13" x14ac:dyDescent="0.25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117</v>
      </c>
      <c r="H167" s="103">
        <f t="shared" si="15"/>
        <v>0</v>
      </c>
      <c r="I167" s="103">
        <f t="shared" si="13"/>
        <v>-351105300</v>
      </c>
      <c r="J167" s="103">
        <f t="shared" si="16"/>
        <v>0</v>
      </c>
      <c r="K167" s="103">
        <f t="shared" si="17"/>
        <v>-351105300</v>
      </c>
    </row>
    <row r="168" spans="1:13" x14ac:dyDescent="0.25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99</v>
      </c>
      <c r="H168" s="103">
        <f t="shared" si="15"/>
        <v>0</v>
      </c>
      <c r="I168" s="103">
        <f t="shared" si="13"/>
        <v>-297089100</v>
      </c>
      <c r="J168" s="103">
        <f t="shared" si="16"/>
        <v>0</v>
      </c>
      <c r="K168" s="103">
        <f t="shared" si="17"/>
        <v>-297089100</v>
      </c>
      <c r="M168" t="s">
        <v>25</v>
      </c>
    </row>
    <row r="169" spans="1:13" x14ac:dyDescent="0.25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91</v>
      </c>
      <c r="H169" s="103">
        <f t="shared" si="15"/>
        <v>1</v>
      </c>
      <c r="I169" s="103">
        <f t="shared" si="13"/>
        <v>1953450</v>
      </c>
      <c r="J169" s="103">
        <f t="shared" si="16"/>
        <v>6166350</v>
      </c>
      <c r="K169" s="103">
        <f t="shared" si="17"/>
        <v>-4212900</v>
      </c>
    </row>
    <row r="170" spans="1:13" x14ac:dyDescent="0.25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67</v>
      </c>
      <c r="H170" s="103">
        <f t="shared" si="15"/>
        <v>1</v>
      </c>
      <c r="I170" s="103">
        <f t="shared" si="13"/>
        <v>330000000</v>
      </c>
      <c r="J170" s="103">
        <f t="shared" si="16"/>
        <v>0</v>
      </c>
      <c r="K170" s="103">
        <f t="shared" si="17"/>
        <v>330000000</v>
      </c>
    </row>
    <row r="171" spans="1:13" x14ac:dyDescent="0.25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66</v>
      </c>
      <c r="H171" s="103">
        <f t="shared" si="15"/>
        <v>0</v>
      </c>
      <c r="I171" s="103">
        <f t="shared" si="13"/>
        <v>-330000000</v>
      </c>
      <c r="J171" s="103">
        <f t="shared" si="16"/>
        <v>0</v>
      </c>
      <c r="K171" s="103">
        <f t="shared" si="17"/>
        <v>-330000000</v>
      </c>
    </row>
    <row r="172" spans="1:13" x14ac:dyDescent="0.25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60</v>
      </c>
      <c r="H172" s="103">
        <f t="shared" si="15"/>
        <v>1</v>
      </c>
      <c r="I172" s="103">
        <f t="shared" si="13"/>
        <v>29264</v>
      </c>
      <c r="J172" s="103">
        <f t="shared" si="16"/>
        <v>3698179</v>
      </c>
      <c r="K172" s="103">
        <f t="shared" si="17"/>
        <v>-3668915</v>
      </c>
    </row>
    <row r="173" spans="1:13" x14ac:dyDescent="0.25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59</v>
      </c>
      <c r="H173" s="103">
        <f t="shared" si="15"/>
        <v>1</v>
      </c>
      <c r="I173" s="103">
        <f t="shared" si="13"/>
        <v>45530000</v>
      </c>
      <c r="J173" s="103">
        <f t="shared" si="16"/>
        <v>0</v>
      </c>
      <c r="K173" s="103">
        <f t="shared" si="17"/>
        <v>45530000</v>
      </c>
    </row>
    <row r="174" spans="1:13" x14ac:dyDescent="0.25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48</v>
      </c>
      <c r="H174" s="103">
        <f t="shared" si="15"/>
        <v>0</v>
      </c>
      <c r="I174" s="103">
        <f t="shared" si="13"/>
        <v>-1536000</v>
      </c>
      <c r="J174" s="103">
        <f t="shared" si="16"/>
        <v>0</v>
      </c>
      <c r="K174" s="103">
        <f t="shared" si="17"/>
        <v>-1536000</v>
      </c>
    </row>
    <row r="175" spans="1:13" x14ac:dyDescent="0.25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46</v>
      </c>
      <c r="H175" s="103">
        <f t="shared" si="15"/>
        <v>0</v>
      </c>
      <c r="I175" s="103">
        <f t="shared" si="13"/>
        <v>-34500000</v>
      </c>
      <c r="J175" s="103">
        <f t="shared" si="16"/>
        <v>0</v>
      </c>
      <c r="K175" s="103">
        <f t="shared" si="17"/>
        <v>-34500000</v>
      </c>
    </row>
    <row r="176" spans="1:13" x14ac:dyDescent="0.25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37</v>
      </c>
      <c r="H176" s="103">
        <f t="shared" si="15"/>
        <v>0</v>
      </c>
      <c r="I176" s="103">
        <f t="shared" si="13"/>
        <v>-347652</v>
      </c>
      <c r="J176" s="103">
        <f t="shared" si="16"/>
        <v>0</v>
      </c>
      <c r="K176" s="103">
        <f t="shared" si="17"/>
        <v>-347652</v>
      </c>
    </row>
    <row r="177" spans="1:14" x14ac:dyDescent="0.25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36</v>
      </c>
      <c r="H177" s="103">
        <f t="shared" si="15"/>
        <v>0</v>
      </c>
      <c r="I177" s="103">
        <f t="shared" si="13"/>
        <v>-1558800</v>
      </c>
      <c r="J177" s="103">
        <f t="shared" si="16"/>
        <v>0</v>
      </c>
      <c r="K177" s="103">
        <f t="shared" si="17"/>
        <v>-1558800</v>
      </c>
    </row>
    <row r="178" spans="1:14" x14ac:dyDescent="0.25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33</v>
      </c>
      <c r="H178" s="103">
        <f t="shared" si="15"/>
        <v>1</v>
      </c>
      <c r="I178" s="103">
        <f t="shared" si="13"/>
        <v>11520000</v>
      </c>
      <c r="J178" s="103">
        <f t="shared" si="16"/>
        <v>0</v>
      </c>
      <c r="K178" s="103">
        <f t="shared" si="17"/>
        <v>11520000</v>
      </c>
    </row>
    <row r="179" spans="1:14" x14ac:dyDescent="0.25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31</v>
      </c>
      <c r="H179" s="103">
        <f t="shared" si="15"/>
        <v>1</v>
      </c>
      <c r="I179" s="103">
        <f t="shared" si="13"/>
        <v>90000000</v>
      </c>
      <c r="J179" s="103">
        <f t="shared" si="16"/>
        <v>0</v>
      </c>
      <c r="K179" s="103">
        <f t="shared" si="17"/>
        <v>90000000</v>
      </c>
    </row>
    <row r="180" spans="1:14" x14ac:dyDescent="0.25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31</v>
      </c>
      <c r="H180" s="103">
        <f t="shared" si="15"/>
        <v>0</v>
      </c>
      <c r="I180" s="103">
        <f t="shared" si="13"/>
        <v>-373550</v>
      </c>
      <c r="J180" s="103">
        <f t="shared" si="16"/>
        <v>0</v>
      </c>
      <c r="K180" s="103">
        <f t="shared" si="17"/>
        <v>-373550</v>
      </c>
    </row>
    <row r="181" spans="1:14" x14ac:dyDescent="0.25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29</v>
      </c>
      <c r="H181" s="103">
        <f t="shared" si="15"/>
        <v>1</v>
      </c>
      <c r="I181" s="103">
        <f t="shared" si="13"/>
        <v>84000000</v>
      </c>
      <c r="J181" s="103">
        <f t="shared" si="16"/>
        <v>0</v>
      </c>
      <c r="K181" s="103">
        <f t="shared" si="17"/>
        <v>84000000</v>
      </c>
    </row>
    <row r="182" spans="1:14" x14ac:dyDescent="0.25">
      <c r="A182" s="103" t="s">
        <v>4087</v>
      </c>
      <c r="B182" s="18">
        <v>-35800</v>
      </c>
      <c r="C182" s="18">
        <v>0</v>
      </c>
      <c r="D182" s="18">
        <f t="shared" si="18"/>
        <v>-35800</v>
      </c>
      <c r="E182" s="103" t="s">
        <v>4088</v>
      </c>
      <c r="F182" s="103">
        <v>1</v>
      </c>
      <c r="G182" s="36">
        <f t="shared" si="14"/>
        <v>27</v>
      </c>
      <c r="H182" s="103">
        <f t="shared" si="15"/>
        <v>0</v>
      </c>
      <c r="I182" s="103">
        <f t="shared" si="13"/>
        <v>-966600</v>
      </c>
      <c r="J182" s="103">
        <f t="shared" si="16"/>
        <v>0</v>
      </c>
      <c r="K182" s="103">
        <f t="shared" si="17"/>
        <v>-966600</v>
      </c>
      <c r="N182" t="s">
        <v>25</v>
      </c>
    </row>
    <row r="183" spans="1:14" x14ac:dyDescent="0.25">
      <c r="A183" s="103" t="s">
        <v>4086</v>
      </c>
      <c r="B183" s="18">
        <v>3600000</v>
      </c>
      <c r="C183" s="18">
        <v>0</v>
      </c>
      <c r="D183" s="18">
        <f t="shared" si="18"/>
        <v>3600000</v>
      </c>
      <c r="E183" s="103" t="s">
        <v>4089</v>
      </c>
      <c r="F183" s="103">
        <v>0</v>
      </c>
      <c r="G183" s="36">
        <f t="shared" si="14"/>
        <v>26</v>
      </c>
      <c r="H183" s="103">
        <f t="shared" si="15"/>
        <v>1</v>
      </c>
      <c r="I183" s="103">
        <f t="shared" si="13"/>
        <v>90000000</v>
      </c>
      <c r="J183" s="103">
        <f t="shared" si="16"/>
        <v>0</v>
      </c>
      <c r="K183" s="103">
        <f t="shared" si="17"/>
        <v>90000000</v>
      </c>
    </row>
    <row r="184" spans="1:14" x14ac:dyDescent="0.25">
      <c r="A184" s="103" t="s">
        <v>4086</v>
      </c>
      <c r="B184" s="18">
        <v>-33377</v>
      </c>
      <c r="C184" s="18">
        <v>0</v>
      </c>
      <c r="D184" s="18">
        <f t="shared" si="18"/>
        <v>-33377</v>
      </c>
      <c r="E184" s="103" t="s">
        <v>4090</v>
      </c>
      <c r="F184" s="103">
        <v>3</v>
      </c>
      <c r="G184" s="36">
        <f t="shared" si="14"/>
        <v>26</v>
      </c>
      <c r="H184" s="103">
        <f t="shared" si="15"/>
        <v>0</v>
      </c>
      <c r="I184" s="103">
        <f t="shared" si="13"/>
        <v>-867802</v>
      </c>
      <c r="J184" s="103">
        <f t="shared" si="16"/>
        <v>0</v>
      </c>
      <c r="K184" s="103">
        <f t="shared" si="17"/>
        <v>-867802</v>
      </c>
    </row>
    <row r="185" spans="1:14" x14ac:dyDescent="0.25">
      <c r="A185" s="103" t="s">
        <v>4112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23</v>
      </c>
      <c r="H185" s="103">
        <f t="shared" si="15"/>
        <v>0</v>
      </c>
      <c r="I185" s="103">
        <f t="shared" si="13"/>
        <v>-225400000</v>
      </c>
      <c r="J185" s="103">
        <f t="shared" si="16"/>
        <v>0</v>
      </c>
      <c r="K185" s="103">
        <f t="shared" si="17"/>
        <v>-225400000</v>
      </c>
    </row>
    <row r="186" spans="1:14" x14ac:dyDescent="0.25">
      <c r="A186" s="103" t="s">
        <v>4112</v>
      </c>
      <c r="B186" s="18">
        <v>18000000</v>
      </c>
      <c r="C186" s="18">
        <v>0</v>
      </c>
      <c r="D186" s="18">
        <f t="shared" si="18"/>
        <v>18000000</v>
      </c>
      <c r="E186" s="103" t="s">
        <v>4114</v>
      </c>
      <c r="F186" s="103">
        <v>0</v>
      </c>
      <c r="G186" s="36">
        <f t="shared" si="14"/>
        <v>23</v>
      </c>
      <c r="H186" s="103">
        <f t="shared" si="15"/>
        <v>1</v>
      </c>
      <c r="I186" s="103">
        <f t="shared" si="13"/>
        <v>396000000</v>
      </c>
      <c r="J186" s="103">
        <f t="shared" si="16"/>
        <v>0</v>
      </c>
      <c r="K186" s="103">
        <f t="shared" si="17"/>
        <v>396000000</v>
      </c>
    </row>
    <row r="187" spans="1:14" x14ac:dyDescent="0.25">
      <c r="A187" s="103" t="s">
        <v>4112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23</v>
      </c>
      <c r="H187" s="103">
        <f t="shared" si="15"/>
        <v>0</v>
      </c>
      <c r="I187" s="103">
        <f t="shared" si="13"/>
        <v>-207000000</v>
      </c>
      <c r="J187" s="103">
        <f t="shared" si="16"/>
        <v>0</v>
      </c>
      <c r="K187" s="103">
        <f t="shared" si="17"/>
        <v>-207000000</v>
      </c>
    </row>
    <row r="188" spans="1:14" x14ac:dyDescent="0.25">
      <c r="A188" s="103" t="s">
        <v>4112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23</v>
      </c>
      <c r="H188" s="103">
        <f t="shared" si="15"/>
        <v>0</v>
      </c>
      <c r="I188" s="103">
        <f t="shared" si="13"/>
        <v>-266800</v>
      </c>
      <c r="J188" s="103">
        <f t="shared" si="16"/>
        <v>0</v>
      </c>
      <c r="K188" s="103">
        <f t="shared" si="17"/>
        <v>-266800</v>
      </c>
    </row>
    <row r="189" spans="1:14" x14ac:dyDescent="0.25">
      <c r="A189" s="103" t="s">
        <v>4112</v>
      </c>
      <c r="B189" s="18">
        <v>-3304327</v>
      </c>
      <c r="C189" s="18">
        <v>0</v>
      </c>
      <c r="D189" s="18">
        <f t="shared" si="18"/>
        <v>-3304327</v>
      </c>
      <c r="E189" s="103" t="s">
        <v>4115</v>
      </c>
      <c r="F189" s="103">
        <v>1</v>
      </c>
      <c r="G189" s="36">
        <f t="shared" si="14"/>
        <v>23</v>
      </c>
      <c r="H189" s="103">
        <f t="shared" si="15"/>
        <v>0</v>
      </c>
      <c r="I189" s="103">
        <f t="shared" si="13"/>
        <v>-75999521</v>
      </c>
      <c r="J189" s="103">
        <f t="shared" si="16"/>
        <v>0</v>
      </c>
      <c r="K189" s="103">
        <f t="shared" si="17"/>
        <v>-75999521</v>
      </c>
    </row>
    <row r="190" spans="1:14" x14ac:dyDescent="0.25">
      <c r="A190" s="103" t="s">
        <v>4121</v>
      </c>
      <c r="B190" s="18">
        <v>-3000900</v>
      </c>
      <c r="C190" s="18">
        <v>0</v>
      </c>
      <c r="D190" s="18">
        <f t="shared" si="18"/>
        <v>-3000900</v>
      </c>
      <c r="E190" s="103" t="s">
        <v>4122</v>
      </c>
      <c r="F190" s="103">
        <v>1</v>
      </c>
      <c r="G190" s="36">
        <f t="shared" si="14"/>
        <v>22</v>
      </c>
      <c r="H190" s="103">
        <f t="shared" si="15"/>
        <v>0</v>
      </c>
      <c r="I190" s="103">
        <f t="shared" si="13"/>
        <v>-66019800</v>
      </c>
      <c r="J190" s="103">
        <f t="shared" si="16"/>
        <v>0</v>
      </c>
      <c r="K190" s="103">
        <f t="shared" si="17"/>
        <v>-66019800</v>
      </c>
    </row>
    <row r="191" spans="1:14" x14ac:dyDescent="0.25">
      <c r="A191" s="103" t="s">
        <v>4127</v>
      </c>
      <c r="B191" s="18">
        <v>-2760900</v>
      </c>
      <c r="C191" s="18">
        <v>0</v>
      </c>
      <c r="D191" s="18">
        <f t="shared" si="18"/>
        <v>-2760900</v>
      </c>
      <c r="E191" s="103" t="s">
        <v>4128</v>
      </c>
      <c r="F191" s="103">
        <v>5</v>
      </c>
      <c r="G191" s="36">
        <f t="shared" si="14"/>
        <v>21</v>
      </c>
      <c r="H191" s="103">
        <f t="shared" si="15"/>
        <v>0</v>
      </c>
      <c r="I191" s="103">
        <f t="shared" si="13"/>
        <v>-57978900</v>
      </c>
      <c r="J191" s="103">
        <f t="shared" si="16"/>
        <v>0</v>
      </c>
      <c r="K191" s="103">
        <f t="shared" si="17"/>
        <v>-57978900</v>
      </c>
    </row>
    <row r="192" spans="1:14" x14ac:dyDescent="0.25">
      <c r="A192" s="103" t="s">
        <v>4141</v>
      </c>
      <c r="B192" s="18">
        <v>1000000</v>
      </c>
      <c r="C192" s="18">
        <v>0</v>
      </c>
      <c r="D192" s="18">
        <f t="shared" si="18"/>
        <v>1000000</v>
      </c>
      <c r="E192" s="103" t="s">
        <v>4119</v>
      </c>
      <c r="F192" s="103">
        <v>1</v>
      </c>
      <c r="G192" s="36">
        <f t="shared" si="14"/>
        <v>16</v>
      </c>
      <c r="H192" s="103">
        <f t="shared" si="15"/>
        <v>1</v>
      </c>
      <c r="I192" s="103">
        <f t="shared" si="13"/>
        <v>15000000</v>
      </c>
      <c r="J192" s="103">
        <f t="shared" si="16"/>
        <v>0</v>
      </c>
      <c r="K192" s="103">
        <f t="shared" si="17"/>
        <v>15000000</v>
      </c>
    </row>
    <row r="193" spans="1:11" x14ac:dyDescent="0.25">
      <c r="A193" s="103" t="s">
        <v>4157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15</v>
      </c>
      <c r="H193" s="103">
        <f t="shared" si="15"/>
        <v>0</v>
      </c>
      <c r="I193" s="103">
        <f t="shared" si="13"/>
        <v>-225000</v>
      </c>
      <c r="J193" s="103">
        <f t="shared" si="16"/>
        <v>0</v>
      </c>
      <c r="K193" s="103">
        <f t="shared" si="17"/>
        <v>-225000</v>
      </c>
    </row>
    <row r="194" spans="1:11" x14ac:dyDescent="0.25">
      <c r="A194" s="103" t="s">
        <v>4153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13</v>
      </c>
      <c r="H194" s="103">
        <f t="shared" si="15"/>
        <v>0</v>
      </c>
      <c r="I194" s="103">
        <f t="shared" si="13"/>
        <v>-12870000</v>
      </c>
      <c r="J194" s="103">
        <f t="shared" si="16"/>
        <v>0</v>
      </c>
      <c r="K194" s="103">
        <f t="shared" si="17"/>
        <v>-12870000</v>
      </c>
    </row>
    <row r="195" spans="1:11" x14ac:dyDescent="0.25">
      <c r="A195" s="103" t="s">
        <v>4153</v>
      </c>
      <c r="B195" s="18">
        <v>783000</v>
      </c>
      <c r="C195" s="18">
        <v>0</v>
      </c>
      <c r="D195" s="18">
        <f t="shared" si="18"/>
        <v>783000</v>
      </c>
      <c r="E195" s="103" t="s">
        <v>4161</v>
      </c>
      <c r="F195" s="103">
        <v>2</v>
      </c>
      <c r="G195" s="36">
        <f t="shared" si="14"/>
        <v>13</v>
      </c>
      <c r="H195" s="103">
        <f t="shared" si="15"/>
        <v>1</v>
      </c>
      <c r="I195" s="103">
        <f t="shared" si="13"/>
        <v>9396000</v>
      </c>
      <c r="J195" s="103">
        <f t="shared" si="16"/>
        <v>0</v>
      </c>
      <c r="K195" s="103">
        <f t="shared" si="17"/>
        <v>9396000</v>
      </c>
    </row>
    <row r="196" spans="1:11" x14ac:dyDescent="0.25">
      <c r="A196" s="103" t="s">
        <v>4170</v>
      </c>
      <c r="B196" s="18">
        <v>-750500</v>
      </c>
      <c r="C196" s="18">
        <v>0</v>
      </c>
      <c r="D196" s="18">
        <f t="shared" si="18"/>
        <v>-750500</v>
      </c>
      <c r="E196" s="103" t="s">
        <v>4171</v>
      </c>
      <c r="F196" s="103">
        <v>2</v>
      </c>
      <c r="G196" s="36">
        <f t="shared" si="14"/>
        <v>11</v>
      </c>
      <c r="H196" s="103">
        <f t="shared" si="15"/>
        <v>0</v>
      </c>
      <c r="I196" s="103">
        <f t="shared" si="13"/>
        <v>-8255500</v>
      </c>
      <c r="J196" s="103">
        <f t="shared" si="16"/>
        <v>0</v>
      </c>
      <c r="K196" s="103">
        <f t="shared" si="17"/>
        <v>-8255500</v>
      </c>
    </row>
    <row r="197" spans="1:11" x14ac:dyDescent="0.25">
      <c r="A197" s="103" t="s">
        <v>4184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9</v>
      </c>
      <c r="H197" s="103">
        <f t="shared" si="15"/>
        <v>1</v>
      </c>
      <c r="I197" s="103">
        <f t="shared" si="13"/>
        <v>5600000</v>
      </c>
      <c r="J197" s="103">
        <f t="shared" si="16"/>
        <v>0</v>
      </c>
      <c r="K197" s="103">
        <f t="shared" si="17"/>
        <v>5600000</v>
      </c>
    </row>
    <row r="198" spans="1:11" x14ac:dyDescent="0.25">
      <c r="A198" s="103" t="s">
        <v>4184</v>
      </c>
      <c r="B198" s="18">
        <v>-99000</v>
      </c>
      <c r="C198" s="18">
        <v>0</v>
      </c>
      <c r="D198" s="18">
        <f t="shared" si="18"/>
        <v>-99000</v>
      </c>
      <c r="E198" s="103" t="s">
        <v>4188</v>
      </c>
      <c r="F198" s="103">
        <v>1</v>
      </c>
      <c r="G198" s="36">
        <f t="shared" si="14"/>
        <v>9</v>
      </c>
      <c r="H198" s="103">
        <f t="shared" si="15"/>
        <v>0</v>
      </c>
      <c r="I198" s="103">
        <f t="shared" si="13"/>
        <v>-891000</v>
      </c>
      <c r="J198" s="103">
        <f t="shared" si="16"/>
        <v>0</v>
      </c>
      <c r="K198" s="103">
        <f t="shared" si="17"/>
        <v>-891000</v>
      </c>
    </row>
    <row r="199" spans="1:11" x14ac:dyDescent="0.25">
      <c r="A199" s="103" t="s">
        <v>4189</v>
      </c>
      <c r="B199" s="18">
        <v>-205750</v>
      </c>
      <c r="C199" s="18">
        <v>0</v>
      </c>
      <c r="D199" s="18">
        <f t="shared" si="18"/>
        <v>-205750</v>
      </c>
      <c r="E199" s="103" t="s">
        <v>4190</v>
      </c>
      <c r="F199" s="103">
        <v>0</v>
      </c>
      <c r="G199" s="36">
        <f t="shared" si="14"/>
        <v>8</v>
      </c>
      <c r="H199" s="103">
        <f t="shared" si="15"/>
        <v>0</v>
      </c>
      <c r="I199" s="103">
        <f t="shared" si="13"/>
        <v>-1646000</v>
      </c>
      <c r="J199" s="103">
        <f t="shared" si="16"/>
        <v>0</v>
      </c>
      <c r="K199" s="103">
        <f t="shared" si="17"/>
        <v>-1646000</v>
      </c>
    </row>
    <row r="200" spans="1:11" x14ac:dyDescent="0.25">
      <c r="A200" s="103" t="s">
        <v>4189</v>
      </c>
      <c r="B200" s="18">
        <v>-95000</v>
      </c>
      <c r="C200" s="18">
        <v>0</v>
      </c>
      <c r="D200" s="18">
        <f t="shared" si="18"/>
        <v>-95000</v>
      </c>
      <c r="E200" s="103" t="s">
        <v>4191</v>
      </c>
      <c r="F200" s="103">
        <v>3</v>
      </c>
      <c r="G200" s="36">
        <f t="shared" si="14"/>
        <v>8</v>
      </c>
      <c r="H200" s="103">
        <f t="shared" si="15"/>
        <v>0</v>
      </c>
      <c r="I200" s="103">
        <f t="shared" si="13"/>
        <v>-760000</v>
      </c>
      <c r="J200" s="103">
        <f t="shared" si="16"/>
        <v>0</v>
      </c>
      <c r="K200" s="103">
        <f t="shared" si="17"/>
        <v>-760000</v>
      </c>
    </row>
    <row r="201" spans="1:11" x14ac:dyDescent="0.25">
      <c r="A201" s="103" t="s">
        <v>4214</v>
      </c>
      <c r="B201" s="18">
        <v>48650000</v>
      </c>
      <c r="C201" s="18">
        <v>0</v>
      </c>
      <c r="D201" s="18">
        <f t="shared" si="18"/>
        <v>48650000</v>
      </c>
      <c r="E201" s="103" t="s">
        <v>4215</v>
      </c>
      <c r="F201" s="103">
        <v>0</v>
      </c>
      <c r="G201" s="36">
        <f t="shared" si="14"/>
        <v>5</v>
      </c>
      <c r="H201" s="103">
        <f t="shared" si="15"/>
        <v>1</v>
      </c>
      <c r="I201" s="103">
        <f t="shared" si="13"/>
        <v>194600000</v>
      </c>
      <c r="J201" s="103">
        <f t="shared" si="16"/>
        <v>0</v>
      </c>
      <c r="K201" s="103">
        <f t="shared" si="17"/>
        <v>194600000</v>
      </c>
    </row>
    <row r="202" spans="1:11" x14ac:dyDescent="0.25">
      <c r="A202" s="103" t="s">
        <v>4214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5</v>
      </c>
      <c r="H202" s="103">
        <f t="shared" si="15"/>
        <v>0</v>
      </c>
      <c r="I202" s="103">
        <f t="shared" si="13"/>
        <v>-15004500</v>
      </c>
      <c r="J202" s="103">
        <f t="shared" si="16"/>
        <v>0</v>
      </c>
      <c r="K202" s="103">
        <f t="shared" si="17"/>
        <v>-15004500</v>
      </c>
    </row>
    <row r="203" spans="1:11" x14ac:dyDescent="0.25">
      <c r="A203" s="103" t="s">
        <v>4214</v>
      </c>
      <c r="B203" s="18">
        <v>-5000</v>
      </c>
      <c r="C203" s="18">
        <v>0</v>
      </c>
      <c r="D203" s="18">
        <f t="shared" si="18"/>
        <v>-5000</v>
      </c>
      <c r="E203" s="103" t="s">
        <v>4216</v>
      </c>
      <c r="F203" s="103">
        <v>0</v>
      </c>
      <c r="G203" s="36">
        <f t="shared" si="14"/>
        <v>5</v>
      </c>
      <c r="H203" s="103">
        <f t="shared" si="15"/>
        <v>0</v>
      </c>
      <c r="I203" s="103">
        <f t="shared" si="13"/>
        <v>-25000</v>
      </c>
      <c r="J203" s="103">
        <f t="shared" si="16"/>
        <v>0</v>
      </c>
      <c r="K203" s="103">
        <f t="shared" si="17"/>
        <v>-25000</v>
      </c>
    </row>
    <row r="204" spans="1:11" x14ac:dyDescent="0.25">
      <c r="A204" s="103" t="s">
        <v>4214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5</v>
      </c>
      <c r="H204" s="103">
        <f t="shared" si="15"/>
        <v>0</v>
      </c>
      <c r="I204" s="103">
        <f t="shared" si="13"/>
        <v>-167500000</v>
      </c>
      <c r="J204" s="103">
        <f t="shared" si="16"/>
        <v>0</v>
      </c>
      <c r="K204" s="103">
        <f t="shared" si="17"/>
        <v>-167500000</v>
      </c>
    </row>
    <row r="205" spans="1:11" x14ac:dyDescent="0.25">
      <c r="A205" s="11" t="s">
        <v>4222</v>
      </c>
      <c r="B205" s="18">
        <v>-12435000</v>
      </c>
      <c r="C205" s="18">
        <v>0</v>
      </c>
      <c r="D205" s="18">
        <f t="shared" si="18"/>
        <v>-12435000</v>
      </c>
      <c r="E205" s="11" t="s">
        <v>3803</v>
      </c>
      <c r="F205" s="11">
        <v>3</v>
      </c>
      <c r="G205" s="36">
        <f t="shared" ref="G205:G221" si="19">G206+F205</f>
        <v>4</v>
      </c>
      <c r="H205" s="103">
        <f t="shared" si="15"/>
        <v>0</v>
      </c>
      <c r="I205" s="103">
        <f t="shared" si="13"/>
        <v>-49740000</v>
      </c>
      <c r="J205" s="103">
        <f t="shared" si="16"/>
        <v>0</v>
      </c>
      <c r="K205" s="103">
        <f t="shared" si="17"/>
        <v>-49740000</v>
      </c>
    </row>
    <row r="206" spans="1:11" x14ac:dyDescent="0.25">
      <c r="A206" s="103" t="s">
        <v>4240</v>
      </c>
      <c r="B206" s="18">
        <v>-18500</v>
      </c>
      <c r="C206" s="18">
        <v>0</v>
      </c>
      <c r="D206" s="18">
        <f t="shared" si="18"/>
        <v>-18500</v>
      </c>
      <c r="E206" s="103" t="s">
        <v>4241</v>
      </c>
      <c r="F206" s="103">
        <v>1</v>
      </c>
      <c r="G206" s="36">
        <f t="shared" si="19"/>
        <v>1</v>
      </c>
      <c r="H206" s="103">
        <f t="shared" si="15"/>
        <v>0</v>
      </c>
      <c r="I206" s="103">
        <f t="shared" si="13"/>
        <v>-18500</v>
      </c>
      <c r="J206" s="103">
        <f t="shared" si="16"/>
        <v>0</v>
      </c>
      <c r="K206" s="103">
        <f t="shared" si="17"/>
        <v>-18500</v>
      </c>
    </row>
    <row r="207" spans="1:11" x14ac:dyDescent="0.25">
      <c r="A207" s="103" t="s">
        <v>4234</v>
      </c>
      <c r="B207" s="18">
        <v>14480</v>
      </c>
      <c r="C207" s="18">
        <v>70874</v>
      </c>
      <c r="D207" s="18">
        <f t="shared" si="18"/>
        <v>-56394</v>
      </c>
      <c r="E207" s="103" t="s">
        <v>695</v>
      </c>
      <c r="F207" s="103"/>
      <c r="G207" s="36">
        <f t="shared" si="19"/>
        <v>0</v>
      </c>
      <c r="H207" s="103">
        <f t="shared" si="15"/>
        <v>1</v>
      </c>
      <c r="I207" s="103">
        <f t="shared" si="13"/>
        <v>-14480</v>
      </c>
      <c r="J207" s="103">
        <f t="shared" ref="J207:J221" si="20">C207*(G207-H207)</f>
        <v>-70874</v>
      </c>
      <c r="K207" s="103">
        <f t="shared" si="17"/>
        <v>56394</v>
      </c>
    </row>
    <row r="208" spans="1:11" x14ac:dyDescent="0.25">
      <c r="A208" s="103" t="s">
        <v>4243</v>
      </c>
      <c r="B208" s="18">
        <v>830000</v>
      </c>
      <c r="C208" s="18">
        <v>0</v>
      </c>
      <c r="D208" s="18">
        <f t="shared" si="18"/>
        <v>830000</v>
      </c>
      <c r="E208" s="103" t="s">
        <v>4244</v>
      </c>
      <c r="F208" s="103"/>
      <c r="G208" s="36">
        <f t="shared" si="19"/>
        <v>0</v>
      </c>
      <c r="H208" s="103">
        <f t="shared" si="15"/>
        <v>1</v>
      </c>
      <c r="I208" s="103">
        <f t="shared" si="13"/>
        <v>-830000</v>
      </c>
      <c r="J208" s="103">
        <f t="shared" si="20"/>
        <v>0</v>
      </c>
      <c r="K208" s="103">
        <f t="shared" si="17"/>
        <v>-830000</v>
      </c>
    </row>
    <row r="209" spans="1:11" x14ac:dyDescent="0.25">
      <c r="A209" s="103"/>
      <c r="B209" s="18"/>
      <c r="C209" s="18"/>
      <c r="D209" s="18">
        <f t="shared" si="18"/>
        <v>0</v>
      </c>
      <c r="E209" s="103"/>
      <c r="F209" s="103"/>
      <c r="G209" s="36">
        <f t="shared" si="19"/>
        <v>0</v>
      </c>
      <c r="H209" s="103">
        <f t="shared" si="15"/>
        <v>0</v>
      </c>
      <c r="I209" s="103">
        <f t="shared" si="13"/>
        <v>0</v>
      </c>
      <c r="J209" s="103">
        <f t="shared" si="20"/>
        <v>0</v>
      </c>
      <c r="K209" s="103">
        <f t="shared" si="17"/>
        <v>0</v>
      </c>
    </row>
    <row r="210" spans="1:11" x14ac:dyDescent="0.25">
      <c r="A210" s="103"/>
      <c r="B210" s="18"/>
      <c r="C210" s="18"/>
      <c r="D210" s="18">
        <f t="shared" si="18"/>
        <v>0</v>
      </c>
      <c r="E210" s="103"/>
      <c r="F210" s="103"/>
      <c r="G210" s="36">
        <f t="shared" si="19"/>
        <v>0</v>
      </c>
      <c r="H210" s="103">
        <f t="shared" si="15"/>
        <v>0</v>
      </c>
      <c r="I210" s="103">
        <f t="shared" si="13"/>
        <v>0</v>
      </c>
      <c r="J210" s="103">
        <f t="shared" si="20"/>
        <v>0</v>
      </c>
      <c r="K210" s="103">
        <f t="shared" si="17"/>
        <v>0</v>
      </c>
    </row>
    <row r="211" spans="1:11" x14ac:dyDescent="0.25">
      <c r="A211" s="103"/>
      <c r="B211" s="18"/>
      <c r="C211" s="18"/>
      <c r="D211" s="18">
        <f t="shared" si="18"/>
        <v>0</v>
      </c>
      <c r="E211" s="103"/>
      <c r="F211" s="103"/>
      <c r="G211" s="36">
        <f t="shared" si="19"/>
        <v>0</v>
      </c>
      <c r="H211" s="103">
        <f t="shared" si="15"/>
        <v>0</v>
      </c>
      <c r="I211" s="103">
        <f t="shared" si="13"/>
        <v>0</v>
      </c>
      <c r="J211" s="103">
        <f t="shared" si="20"/>
        <v>0</v>
      </c>
      <c r="K211" s="103">
        <f t="shared" si="17"/>
        <v>0</v>
      </c>
    </row>
    <row r="212" spans="1:11" x14ac:dyDescent="0.25">
      <c r="A212" s="103"/>
      <c r="B212" s="18"/>
      <c r="C212" s="18"/>
      <c r="D212" s="18">
        <f t="shared" si="18"/>
        <v>0</v>
      </c>
      <c r="E212" s="103"/>
      <c r="F212" s="103"/>
      <c r="G212" s="36">
        <f t="shared" si="19"/>
        <v>0</v>
      </c>
      <c r="H212" s="103">
        <f t="shared" si="15"/>
        <v>0</v>
      </c>
      <c r="I212" s="103">
        <f t="shared" si="13"/>
        <v>0</v>
      </c>
      <c r="J212" s="103">
        <f t="shared" si="20"/>
        <v>0</v>
      </c>
      <c r="K212" s="103">
        <f t="shared" si="17"/>
        <v>0</v>
      </c>
    </row>
    <row r="213" spans="1:11" x14ac:dyDescent="0.25">
      <c r="A213" s="103"/>
      <c r="B213" s="18"/>
      <c r="C213" s="18"/>
      <c r="D213" s="18">
        <f t="shared" si="18"/>
        <v>0</v>
      </c>
      <c r="E213" s="103"/>
      <c r="F213" s="103"/>
      <c r="G213" s="36">
        <f t="shared" si="19"/>
        <v>0</v>
      </c>
      <c r="H213" s="103">
        <f t="shared" si="15"/>
        <v>0</v>
      </c>
      <c r="I213" s="103">
        <f t="shared" si="13"/>
        <v>0</v>
      </c>
      <c r="J213" s="103">
        <f t="shared" si="20"/>
        <v>0</v>
      </c>
      <c r="K213" s="103">
        <f t="shared" si="17"/>
        <v>0</v>
      </c>
    </row>
    <row r="214" spans="1:11" x14ac:dyDescent="0.25">
      <c r="A214" s="103"/>
      <c r="B214" s="18"/>
      <c r="C214" s="18"/>
      <c r="D214" s="18">
        <f t="shared" si="18"/>
        <v>0</v>
      </c>
      <c r="E214" s="103"/>
      <c r="F214" s="103"/>
      <c r="G214" s="36">
        <f t="shared" si="19"/>
        <v>0</v>
      </c>
      <c r="H214" s="103">
        <f t="shared" si="15"/>
        <v>0</v>
      </c>
      <c r="I214" s="103">
        <f t="shared" si="13"/>
        <v>0</v>
      </c>
      <c r="J214" s="103">
        <f t="shared" si="20"/>
        <v>0</v>
      </c>
      <c r="K214" s="103">
        <f t="shared" si="17"/>
        <v>0</v>
      </c>
    </row>
    <row r="215" spans="1:11" x14ac:dyDescent="0.25">
      <c r="A215" s="103"/>
      <c r="B215" s="18"/>
      <c r="C215" s="18"/>
      <c r="D215" s="18">
        <f t="shared" si="18"/>
        <v>0</v>
      </c>
      <c r="E215" s="103" t="s">
        <v>25</v>
      </c>
      <c r="F215" s="103"/>
      <c r="G215" s="36">
        <f t="shared" si="19"/>
        <v>0</v>
      </c>
      <c r="H215" s="103">
        <f t="shared" si="15"/>
        <v>0</v>
      </c>
      <c r="I215" s="103">
        <f t="shared" si="13"/>
        <v>0</v>
      </c>
      <c r="J215" s="103">
        <f t="shared" si="20"/>
        <v>0</v>
      </c>
      <c r="K215" s="103">
        <f t="shared" si="17"/>
        <v>0</v>
      </c>
    </row>
    <row r="216" spans="1:11" x14ac:dyDescent="0.25">
      <c r="A216" s="103"/>
      <c r="B216" s="18"/>
      <c r="C216" s="18"/>
      <c r="D216" s="18">
        <f t="shared" si="18"/>
        <v>0</v>
      </c>
      <c r="E216" s="103"/>
      <c r="F216" s="103"/>
      <c r="G216" s="36">
        <f t="shared" si="19"/>
        <v>0</v>
      </c>
      <c r="H216" s="103">
        <f t="shared" si="15"/>
        <v>0</v>
      </c>
      <c r="I216" s="103">
        <f t="shared" si="13"/>
        <v>0</v>
      </c>
      <c r="J216" s="103">
        <f t="shared" si="20"/>
        <v>0</v>
      </c>
      <c r="K216" s="103">
        <f t="shared" si="17"/>
        <v>0</v>
      </c>
    </row>
    <row r="217" spans="1:11" x14ac:dyDescent="0.25">
      <c r="A217" s="103"/>
      <c r="B217" s="18"/>
      <c r="C217" s="18"/>
      <c r="D217" s="18">
        <f t="shared" si="18"/>
        <v>0</v>
      </c>
      <c r="E217" s="103"/>
      <c r="F217" s="103"/>
      <c r="G217" s="36">
        <f t="shared" si="19"/>
        <v>0</v>
      </c>
      <c r="H217" s="103">
        <f t="shared" si="15"/>
        <v>0</v>
      </c>
      <c r="I217" s="103">
        <f t="shared" si="13"/>
        <v>0</v>
      </c>
      <c r="J217" s="103">
        <f t="shared" si="20"/>
        <v>0</v>
      </c>
      <c r="K217" s="103">
        <f t="shared" si="17"/>
        <v>0</v>
      </c>
    </row>
    <row r="218" spans="1:11" x14ac:dyDescent="0.25">
      <c r="A218" s="103"/>
      <c r="B218" s="18"/>
      <c r="C218" s="18"/>
      <c r="D218" s="18">
        <f t="shared" si="18"/>
        <v>0</v>
      </c>
      <c r="E218" s="103"/>
      <c r="F218" s="103"/>
      <c r="G218" s="36">
        <f t="shared" si="19"/>
        <v>0</v>
      </c>
      <c r="H218" s="103">
        <f t="shared" si="15"/>
        <v>0</v>
      </c>
      <c r="I218" s="103">
        <f t="shared" si="13"/>
        <v>0</v>
      </c>
      <c r="J218" s="103">
        <f t="shared" si="20"/>
        <v>0</v>
      </c>
      <c r="K218" s="103">
        <f t="shared" si="17"/>
        <v>0</v>
      </c>
    </row>
    <row r="219" spans="1:11" x14ac:dyDescent="0.25">
      <c r="A219" s="103"/>
      <c r="B219" s="18"/>
      <c r="C219" s="18"/>
      <c r="D219" s="18">
        <f t="shared" si="18"/>
        <v>0</v>
      </c>
      <c r="E219" s="103"/>
      <c r="F219" s="103"/>
      <c r="G219" s="36">
        <f t="shared" si="19"/>
        <v>0</v>
      </c>
      <c r="H219" s="103">
        <f t="shared" si="15"/>
        <v>0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1" x14ac:dyDescent="0.25">
      <c r="A220" s="103"/>
      <c r="B220" s="18"/>
      <c r="C220" s="18"/>
      <c r="D220" s="18">
        <f t="shared" si="18"/>
        <v>0</v>
      </c>
      <c r="E220" s="103"/>
      <c r="F220" s="103"/>
      <c r="G220" s="36">
        <f t="shared" si="19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1" x14ac:dyDescent="0.25">
      <c r="A221" s="11"/>
      <c r="B221" s="18"/>
      <c r="C221" s="18"/>
      <c r="D221" s="18">
        <f t="shared" si="18"/>
        <v>0</v>
      </c>
      <c r="E221" s="11"/>
      <c r="F221" s="11">
        <v>0</v>
      </c>
      <c r="G221" s="36">
        <f t="shared" si="19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1" x14ac:dyDescent="0.25">
      <c r="A222" s="11"/>
      <c r="B222" s="29">
        <f>SUM(B2:B221)</f>
        <v>875817</v>
      </c>
      <c r="C222" s="29">
        <f>SUM(C2:C208)</f>
        <v>7906317</v>
      </c>
      <c r="D222" s="29">
        <f>SUM(D2:D205)</f>
        <v>-7785606</v>
      </c>
      <c r="E222" s="11"/>
      <c r="F222" s="11"/>
      <c r="G222" s="11"/>
      <c r="H222" s="11"/>
      <c r="I222" s="29">
        <f>SUM(I2:I221)</f>
        <v>18773936760</v>
      </c>
      <c r="J222" s="29">
        <f>SUM(J2:J221)</f>
        <v>8044380970</v>
      </c>
      <c r="K222" s="29">
        <f>SUM(K2:K221)</f>
        <v>10729555790</v>
      </c>
    </row>
    <row r="223" spans="1:11" x14ac:dyDescent="0.25">
      <c r="A223" s="11"/>
      <c r="B223" s="11" t="s">
        <v>283</v>
      </c>
      <c r="C223" s="11" t="s">
        <v>488</v>
      </c>
      <c r="D223" s="11" t="s">
        <v>489</v>
      </c>
      <c r="E223" s="11"/>
      <c r="F223" s="11"/>
      <c r="G223" s="11"/>
      <c r="H223" s="11"/>
      <c r="I223" s="11" t="s">
        <v>485</v>
      </c>
      <c r="J223" s="11" t="s">
        <v>486</v>
      </c>
      <c r="K223" s="11" t="s">
        <v>487</v>
      </c>
    </row>
    <row r="224" spans="1:1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5">
      <c r="A225" s="11"/>
      <c r="B225" s="11"/>
      <c r="C225" s="11"/>
      <c r="D225" s="11"/>
      <c r="E225" s="11"/>
      <c r="F225" s="11"/>
      <c r="G225" s="11"/>
      <c r="H225" s="11"/>
      <c r="I225" s="3">
        <f>I222/G2</f>
        <v>21023445.419932812</v>
      </c>
      <c r="J225" s="29">
        <f>J222/G2</f>
        <v>9008265.36394177</v>
      </c>
      <c r="K225" s="29">
        <f>K222/G2</f>
        <v>12015180.055991041</v>
      </c>
    </row>
    <row r="226" spans="1:11" x14ac:dyDescent="0.25">
      <c r="A226" s="11"/>
      <c r="B226" s="11"/>
      <c r="C226" s="11"/>
      <c r="D226" s="11"/>
      <c r="E226" s="11"/>
      <c r="F226" s="11"/>
      <c r="G226" s="11"/>
      <c r="H226" s="11"/>
      <c r="I226" s="11" t="s">
        <v>491</v>
      </c>
      <c r="J226" s="11" t="s">
        <v>492</v>
      </c>
      <c r="K226" s="11" t="s">
        <v>493</v>
      </c>
    </row>
    <row r="229" spans="1:11" ht="30" x14ac:dyDescent="0.25">
      <c r="B229" s="22" t="s">
        <v>855</v>
      </c>
      <c r="D229" s="102">
        <f>D222-D151+D152</f>
        <v>-6588967</v>
      </c>
      <c r="G229" t="s">
        <v>25</v>
      </c>
      <c r="J229">
        <f>J222/I222*1448696</f>
        <v>620746.87278935523</v>
      </c>
      <c r="K229">
        <f>K222/I222*1448696</f>
        <v>827949.12721064466</v>
      </c>
    </row>
    <row r="230" spans="1:11" x14ac:dyDescent="0.25">
      <c r="B230" s="7"/>
    </row>
    <row r="231" spans="1:11" x14ac:dyDescent="0.25">
      <c r="B231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1134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1135</v>
      </c>
    </row>
    <row r="37" spans="4:17" x14ac:dyDescent="0.25">
      <c r="D37" s="7">
        <v>-65500</v>
      </c>
      <c r="E37" s="41" t="s">
        <v>1150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1247</v>
      </c>
    </row>
    <row r="51" spans="1:18" x14ac:dyDescent="0.25">
      <c r="D51" s="118">
        <v>1000000</v>
      </c>
      <c r="E51" s="41" t="s">
        <v>1249</v>
      </c>
    </row>
    <row r="52" spans="1:18" x14ac:dyDescent="0.25">
      <c r="D52" s="118">
        <v>910500</v>
      </c>
      <c r="E52" s="41" t="s">
        <v>1260</v>
      </c>
    </row>
    <row r="53" spans="1:18" x14ac:dyDescent="0.25">
      <c r="D53" s="118">
        <v>-300000</v>
      </c>
      <c r="E53" s="41" t="s">
        <v>1263</v>
      </c>
    </row>
    <row r="54" spans="1:18" x14ac:dyDescent="0.25">
      <c r="D54" s="118">
        <v>-58500</v>
      </c>
      <c r="E54" s="41" t="s">
        <v>1264</v>
      </c>
    </row>
    <row r="55" spans="1:18" x14ac:dyDescent="0.25">
      <c r="D55" s="118">
        <v>-1500000</v>
      </c>
      <c r="E55" s="41" t="s">
        <v>1267</v>
      </c>
    </row>
    <row r="56" spans="1:18" x14ac:dyDescent="0.25">
      <c r="D56" s="118">
        <v>-61000</v>
      </c>
      <c r="E56" s="41" t="s">
        <v>1271</v>
      </c>
    </row>
    <row r="57" spans="1:18" x14ac:dyDescent="0.25">
      <c r="D57" s="118">
        <v>1000000</v>
      </c>
      <c r="E57" s="41" t="s">
        <v>3690</v>
      </c>
    </row>
    <row r="58" spans="1:18" x14ac:dyDescent="0.25">
      <c r="D58" s="118">
        <v>200000</v>
      </c>
      <c r="E58" s="41" t="s">
        <v>3700</v>
      </c>
    </row>
    <row r="59" spans="1:18" x14ac:dyDescent="0.25">
      <c r="D59" s="118">
        <v>3000000</v>
      </c>
      <c r="E59" s="41" t="s">
        <v>3705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49" workbookViewId="0">
      <selection activeCell="B35" sqref="B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4078</v>
      </c>
      <c r="B3" s="18">
        <v>3000000</v>
      </c>
      <c r="C3" s="18">
        <v>0</v>
      </c>
      <c r="D3" s="121">
        <f t="shared" ref="D3:D28" si="0">B3-C3</f>
        <v>3000000</v>
      </c>
      <c r="E3" s="20" t="s">
        <v>4080</v>
      </c>
      <c r="F3" s="100">
        <v>30</v>
      </c>
      <c r="G3" s="100">
        <f t="shared" ref="G3:G27" si="1">B3*F3</f>
        <v>90000000</v>
      </c>
      <c r="H3" s="100">
        <f t="shared" ref="H3:H27" si="2">C3*F3</f>
        <v>0</v>
      </c>
      <c r="I3" s="100">
        <f t="shared" ref="I3:I27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4086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>
        <v>-33377</v>
      </c>
      <c r="C6" s="18">
        <v>0</v>
      </c>
      <c r="D6" s="117">
        <f t="shared" si="0"/>
        <v>-33377</v>
      </c>
      <c r="E6" s="19" t="s">
        <v>4090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>
        <v>18000000</v>
      </c>
      <c r="C8" s="18">
        <v>0</v>
      </c>
      <c r="D8" s="117">
        <f t="shared" si="0"/>
        <v>18000000</v>
      </c>
      <c r="E8" s="19" t="s">
        <v>4113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-11600</v>
      </c>
      <c r="C10" s="18">
        <v>0</v>
      </c>
      <c r="D10" s="117">
        <f t="shared" si="0"/>
        <v>-11600</v>
      </c>
      <c r="E10" s="19" t="s">
        <v>4116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>
        <v>-3304327</v>
      </c>
      <c r="C11" s="18">
        <v>0</v>
      </c>
      <c r="D11" s="117">
        <f t="shared" si="0"/>
        <v>-3304327</v>
      </c>
      <c r="E11" s="19" t="s">
        <v>4117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>
        <v>-3000900</v>
      </c>
      <c r="C12" s="18">
        <v>0</v>
      </c>
      <c r="D12" s="117">
        <f t="shared" si="0"/>
        <v>-3000900</v>
      </c>
      <c r="E12" s="20" t="s">
        <v>4122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4127</v>
      </c>
      <c r="B13" s="18">
        <v>-2760900</v>
      </c>
      <c r="C13" s="18">
        <v>0</v>
      </c>
      <c r="D13" s="117">
        <f t="shared" si="0"/>
        <v>-2760900</v>
      </c>
      <c r="E13" s="20" t="s">
        <v>4128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4141</v>
      </c>
      <c r="B14" s="18">
        <v>1000000</v>
      </c>
      <c r="C14" s="18">
        <v>0</v>
      </c>
      <c r="D14" s="117">
        <f t="shared" si="0"/>
        <v>1000000</v>
      </c>
      <c r="E14" s="20" t="s">
        <v>4119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4157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4153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4153</v>
      </c>
      <c r="B17" s="18">
        <v>783000</v>
      </c>
      <c r="C17" s="18">
        <v>0</v>
      </c>
      <c r="D17" s="117">
        <f t="shared" si="0"/>
        <v>783000</v>
      </c>
      <c r="E17" s="20" t="s">
        <v>4161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4170</v>
      </c>
      <c r="B18" s="18">
        <v>-750500</v>
      </c>
      <c r="C18" s="18">
        <v>0</v>
      </c>
      <c r="D18" s="117">
        <f t="shared" si="0"/>
        <v>-750500</v>
      </c>
      <c r="E18" s="20" t="s">
        <v>4171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 t="s">
        <v>4184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 t="s">
        <v>4184</v>
      </c>
      <c r="B20" s="18">
        <v>-99000</v>
      </c>
      <c r="C20" s="18">
        <v>0</v>
      </c>
      <c r="D20" s="117">
        <f t="shared" si="0"/>
        <v>-99000</v>
      </c>
      <c r="E20" s="19" t="s">
        <v>4188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 t="s">
        <v>4189</v>
      </c>
      <c r="B21" s="18">
        <v>-205750</v>
      </c>
      <c r="C21" s="18">
        <v>0</v>
      </c>
      <c r="D21" s="117">
        <f t="shared" si="0"/>
        <v>-205750</v>
      </c>
      <c r="E21" s="19" t="s">
        <v>4190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 t="s">
        <v>4189</v>
      </c>
      <c r="B22" s="18">
        <v>-95000</v>
      </c>
      <c r="C22" s="18">
        <v>0</v>
      </c>
      <c r="D22" s="117">
        <f t="shared" si="0"/>
        <v>-95000</v>
      </c>
      <c r="E22" s="19" t="s">
        <v>4191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9" t="s">
        <v>4214</v>
      </c>
      <c r="B23" s="18">
        <v>48650000</v>
      </c>
      <c r="C23" s="18">
        <v>0</v>
      </c>
      <c r="D23" s="117">
        <f t="shared" si="0"/>
        <v>48650000</v>
      </c>
      <c r="E23" s="19" t="s">
        <v>4215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9" t="s">
        <v>4214</v>
      </c>
      <c r="B24" s="18">
        <v>-3005900</v>
      </c>
      <c r="C24" s="18">
        <v>0</v>
      </c>
      <c r="D24" s="117">
        <f t="shared" si="0"/>
        <v>-3005900</v>
      </c>
      <c r="E24" s="19" t="s">
        <v>4217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9" t="s">
        <v>4222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9" t="s">
        <v>4222</v>
      </c>
      <c r="B26" s="18">
        <v>-12435000</v>
      </c>
      <c r="C26" s="18">
        <v>0</v>
      </c>
      <c r="D26" s="117">
        <f t="shared" si="0"/>
        <v>-12435000</v>
      </c>
      <c r="E26" s="19" t="s">
        <v>3803</v>
      </c>
      <c r="F26" s="100">
        <v>6</v>
      </c>
      <c r="G26" s="100">
        <f t="shared" si="1"/>
        <v>-74610000</v>
      </c>
      <c r="H26" s="100">
        <f t="shared" si="2"/>
        <v>0</v>
      </c>
      <c r="I26" s="100">
        <f t="shared" si="3"/>
        <v>-74610000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80" t="s">
        <v>4240</v>
      </c>
      <c r="B27" s="18">
        <v>-18500</v>
      </c>
      <c r="C27" s="18">
        <v>0</v>
      </c>
      <c r="D27" s="18">
        <f t="shared" ref="D27" si="4">B27-C27</f>
        <v>-18500</v>
      </c>
      <c r="E27" s="180" t="s">
        <v>4241</v>
      </c>
      <c r="F27" s="100">
        <v>3</v>
      </c>
      <c r="G27" s="100">
        <f t="shared" si="1"/>
        <v>-55500</v>
      </c>
      <c r="H27" s="100">
        <f t="shared" si="2"/>
        <v>0</v>
      </c>
      <c r="I27" s="100">
        <f t="shared" si="3"/>
        <v>-55500</v>
      </c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16" t="s">
        <v>4234</v>
      </c>
      <c r="B28" s="18">
        <v>14480</v>
      </c>
      <c r="C28" s="18">
        <v>70874</v>
      </c>
      <c r="D28" s="18">
        <f t="shared" si="0"/>
        <v>-56394</v>
      </c>
      <c r="E28" s="116" t="s">
        <v>695</v>
      </c>
      <c r="F28" s="100">
        <v>0</v>
      </c>
      <c r="G28" s="100">
        <f>B28*F28</f>
        <v>0</v>
      </c>
      <c r="H28" s="100">
        <f>C28*F28</f>
        <v>0</v>
      </c>
      <c r="I28" s="100">
        <f>D28*F28</f>
        <v>0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16" t="s">
        <v>6</v>
      </c>
      <c r="B29" s="117">
        <f>SUM(B2:B28)</f>
        <v>46177</v>
      </c>
      <c r="C29" s="117">
        <f>SUM(C2:C28)</f>
        <v>7906317</v>
      </c>
      <c r="D29" s="117">
        <f>SUM(D2:D28)</f>
        <v>-7860140</v>
      </c>
      <c r="E29" s="116"/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100"/>
      <c r="E30" s="100"/>
      <c r="F30" s="100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 t="s">
        <v>25</v>
      </c>
      <c r="C31" s="100"/>
      <c r="D31" s="100"/>
      <c r="E31" s="100"/>
      <c r="F31" s="100"/>
      <c r="G31" s="100" t="s">
        <v>62</v>
      </c>
      <c r="H31" s="100" t="s">
        <v>36</v>
      </c>
      <c r="I31" s="100" t="s">
        <v>37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 t="s">
        <v>25</v>
      </c>
      <c r="G33" s="100"/>
      <c r="H33" s="100"/>
      <c r="I33" s="100"/>
      <c r="J33" s="100"/>
      <c r="K33" s="100"/>
      <c r="L33" s="100" t="s">
        <v>25</v>
      </c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 t="s">
        <v>25</v>
      </c>
      <c r="D34" s="41"/>
      <c r="E34" s="41" t="s">
        <v>85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00"/>
      <c r="C35" s="100"/>
      <c r="D35" s="42">
        <v>-11953237</v>
      </c>
      <c r="E35" s="41" t="s">
        <v>95</v>
      </c>
      <c r="F35" s="100"/>
      <c r="G35" s="18">
        <v>14480</v>
      </c>
      <c r="H35" s="18">
        <f>G35*H30/G30</f>
        <v>70873.673357292035</v>
      </c>
      <c r="I35" s="18">
        <f>G35*I30/G30</f>
        <v>-56393.673357292035</v>
      </c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42">
        <v>814100</v>
      </c>
      <c r="E36" s="54" t="s">
        <v>4082</v>
      </c>
      <c r="F36" s="100"/>
      <c r="G36" s="9" t="s">
        <v>1039</v>
      </c>
      <c r="H36" s="9" t="s">
        <v>38</v>
      </c>
      <c r="I36" s="9" t="s">
        <v>39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18"/>
      <c r="C37" s="100"/>
      <c r="D37" s="42">
        <v>-80000</v>
      </c>
      <c r="E37" s="41" t="s">
        <v>4084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42">
        <v>-3600000</v>
      </c>
      <c r="E38" s="41" t="s">
        <v>4085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 t="s">
        <v>25</v>
      </c>
      <c r="C39" s="100"/>
      <c r="D39" s="42">
        <v>33377</v>
      </c>
      <c r="E39" s="41" t="s">
        <v>4091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0" x14ac:dyDescent="0.25">
      <c r="A40" s="100"/>
      <c r="B40" s="100"/>
      <c r="C40" s="100"/>
      <c r="D40" s="118">
        <v>-2495233</v>
      </c>
      <c r="E40" s="54" t="s">
        <v>4108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3304327</v>
      </c>
      <c r="E41" s="41" t="s">
        <v>4118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10000</v>
      </c>
      <c r="E42" s="41" t="s">
        <v>4119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3000900</v>
      </c>
      <c r="E43" s="41" t="s">
        <v>4120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2760900</v>
      </c>
      <c r="E44" s="41" t="s">
        <v>4129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-500000</v>
      </c>
      <c r="E45" s="41" t="s">
        <v>4131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-200000</v>
      </c>
      <c r="E46" s="41" t="s">
        <v>1243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642064</v>
      </c>
      <c r="E47" s="41" t="s">
        <v>4140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-1000000</v>
      </c>
      <c r="E48" s="41" t="s">
        <v>4142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200000</v>
      </c>
      <c r="E49" s="41" t="s">
        <v>4143</v>
      </c>
      <c r="F49" s="118" t="s">
        <v>25</v>
      </c>
      <c r="G49" s="41" t="s">
        <v>25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-110000</v>
      </c>
      <c r="E50" s="41" t="s">
        <v>791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-1300000</v>
      </c>
      <c r="E51" s="41" t="s">
        <v>4154</v>
      </c>
      <c r="F51" s="118"/>
      <c r="G51" s="41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-5000</v>
      </c>
      <c r="E52" s="41" t="s">
        <v>4154</v>
      </c>
      <c r="F52" s="118"/>
      <c r="G52" s="4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-50000</v>
      </c>
      <c r="E53" s="41" t="s">
        <v>4159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v>-5000</v>
      </c>
      <c r="E54" s="41" t="s">
        <v>4160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-94056</v>
      </c>
      <c r="E55" s="41" t="s">
        <v>4163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37083</v>
      </c>
      <c r="E56" s="41" t="s">
        <v>4164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-2000000</v>
      </c>
      <c r="E57" s="41" t="s">
        <v>4177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50000</v>
      </c>
      <c r="E58" s="41" t="s">
        <v>4175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/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>
        <v>1223</v>
      </c>
      <c r="E60" s="41" t="s">
        <v>4172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>
        <v>-604742</v>
      </c>
      <c r="E61" s="41" t="s">
        <v>4173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>
        <v>3405686</v>
      </c>
      <c r="E62" s="41" t="s">
        <v>4174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>
        <v>-33237</v>
      </c>
      <c r="E63" s="41" t="s">
        <v>4178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>
        <v>1660000</v>
      </c>
      <c r="E64" s="41" t="s">
        <v>4176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>
        <v>80000</v>
      </c>
      <c r="E65" s="41" t="s">
        <v>4179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>
        <v>3100000</v>
      </c>
      <c r="E66" s="41" t="s">
        <v>4181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>
        <v>-435500</v>
      </c>
      <c r="E67" s="41" t="s">
        <v>4182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v>-700000</v>
      </c>
      <c r="E68" s="41" t="s">
        <v>4183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>
        <v>5000000</v>
      </c>
      <c r="E69" s="41" t="s">
        <v>4187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18">
        <v>99000</v>
      </c>
      <c r="E70" s="41" t="s">
        <v>4188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18">
        <v>-403089</v>
      </c>
      <c r="E71" s="41" t="s">
        <v>4201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18">
        <v>-119170</v>
      </c>
      <c r="E72" s="41" t="s">
        <v>4202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18">
        <v>-3000000</v>
      </c>
      <c r="E73" s="41" t="s">
        <v>4204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18">
        <v>73355</v>
      </c>
      <c r="E74" s="41" t="s">
        <v>4205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18">
        <v>-45600000</v>
      </c>
      <c r="E75" s="41" t="s">
        <v>4206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18">
        <v>5000</v>
      </c>
      <c r="E76" s="41" t="s">
        <v>4218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18">
        <v>1405883</v>
      </c>
      <c r="E77" s="41" t="s">
        <v>4224</v>
      </c>
      <c r="F77" s="100"/>
      <c r="G77" s="100" t="s">
        <v>25</v>
      </c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18">
        <v>938574</v>
      </c>
      <c r="E78" s="41" t="s">
        <v>4225</v>
      </c>
      <c r="F78" s="100"/>
      <c r="G78" s="100"/>
      <c r="H78" s="100"/>
      <c r="I78" s="100"/>
    </row>
    <row r="79" spans="1:20" x14ac:dyDescent="0.25">
      <c r="A79" s="100"/>
      <c r="B79" s="100"/>
      <c r="C79" s="100"/>
      <c r="D79" s="118">
        <v>-420825</v>
      </c>
      <c r="E79" s="41" t="s">
        <v>4226</v>
      </c>
      <c r="F79" s="100"/>
      <c r="G79" s="100"/>
      <c r="H79" s="100"/>
      <c r="I79" s="100"/>
    </row>
    <row r="80" spans="1:20" x14ac:dyDescent="0.25">
      <c r="A80" s="100"/>
      <c r="B80" s="100"/>
      <c r="C80" s="100"/>
      <c r="D80" s="118">
        <v>-160000</v>
      </c>
      <c r="E80" s="41" t="s">
        <v>4228</v>
      </c>
      <c r="F80" s="100"/>
      <c r="G80" s="100"/>
      <c r="H80" s="100"/>
      <c r="I80" s="100"/>
    </row>
    <row r="81" spans="1:9" x14ac:dyDescent="0.25">
      <c r="A81" s="100"/>
      <c r="B81" s="100"/>
      <c r="C81" s="100"/>
      <c r="D81" s="118">
        <v>2260000</v>
      </c>
      <c r="E81" s="41" t="s">
        <v>4231</v>
      </c>
      <c r="F81" s="100"/>
      <c r="G81" s="100"/>
      <c r="H81" s="100"/>
      <c r="I81" s="100"/>
    </row>
    <row r="82" spans="1:9" x14ac:dyDescent="0.25">
      <c r="A82" s="100"/>
      <c r="B82" s="100"/>
      <c r="C82" s="100"/>
      <c r="D82" s="118">
        <v>-150000</v>
      </c>
      <c r="E82" s="41" t="s">
        <v>4235</v>
      </c>
      <c r="F82" s="100"/>
      <c r="G82" s="100"/>
      <c r="H82" s="100"/>
      <c r="I82" s="100"/>
    </row>
    <row r="83" spans="1:9" x14ac:dyDescent="0.25">
      <c r="D83" s="118">
        <v>-150000</v>
      </c>
      <c r="E83" s="41" t="s">
        <v>4236</v>
      </c>
    </row>
    <row r="84" spans="1:9" x14ac:dyDescent="0.25">
      <c r="D84" s="118">
        <v>-150000</v>
      </c>
      <c r="E84" s="41" t="s">
        <v>1244</v>
      </c>
    </row>
    <row r="85" spans="1:9" x14ac:dyDescent="0.25">
      <c r="D85" s="118">
        <v>43500</v>
      </c>
      <c r="E85" s="41" t="s">
        <v>4242</v>
      </c>
    </row>
    <row r="86" spans="1:9" x14ac:dyDescent="0.25">
      <c r="D86" s="118"/>
      <c r="E86" s="41" t="s">
        <v>25</v>
      </c>
    </row>
    <row r="87" spans="1:9" x14ac:dyDescent="0.25">
      <c r="D87" s="118"/>
      <c r="E87" s="100"/>
    </row>
    <row r="88" spans="1:9" x14ac:dyDescent="0.25">
      <c r="D88" s="118">
        <f>SUM(D35:D87)</f>
        <v>-46394117</v>
      </c>
      <c r="E88" s="100" t="s">
        <v>6</v>
      </c>
    </row>
    <row r="89" spans="1:9" x14ac:dyDescent="0.25">
      <c r="D89" s="118"/>
      <c r="E89" s="41"/>
    </row>
    <row r="90" spans="1:9" x14ac:dyDescent="0.25">
      <c r="D90" s="100"/>
      <c r="E90" s="100"/>
    </row>
    <row r="91" spans="1:9" x14ac:dyDescent="0.25">
      <c r="D91" s="100"/>
      <c r="E91" s="100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 x14ac:dyDescent="0.25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x14ac:dyDescent="0.25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x14ac:dyDescent="0.25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 x14ac:dyDescent="0.25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 x14ac:dyDescent="0.25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 x14ac:dyDescent="0.25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 x14ac:dyDescent="0.25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79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 x14ac:dyDescent="0.25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 x14ac:dyDescent="0.25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 x14ac:dyDescent="0.25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 x14ac:dyDescent="0.25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 x14ac:dyDescent="0.25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 x14ac:dyDescent="0.25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 x14ac:dyDescent="0.25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 x14ac:dyDescent="0.25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 x14ac:dyDescent="0.25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 x14ac:dyDescent="0.25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 x14ac:dyDescent="0.25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 x14ac:dyDescent="0.25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 x14ac:dyDescent="0.25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 x14ac:dyDescent="0.25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 x14ac:dyDescent="0.25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 x14ac:dyDescent="0.25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 x14ac:dyDescent="0.25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 x14ac:dyDescent="0.25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 x14ac:dyDescent="0.25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 x14ac:dyDescent="0.25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 x14ac:dyDescent="0.25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 x14ac:dyDescent="0.25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 x14ac:dyDescent="0.25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 x14ac:dyDescent="0.25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 x14ac:dyDescent="0.25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 x14ac:dyDescent="0.25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 x14ac:dyDescent="0.25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 x14ac:dyDescent="0.25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 x14ac:dyDescent="0.25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 x14ac:dyDescent="0.25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 x14ac:dyDescent="0.25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 x14ac:dyDescent="0.25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 x14ac:dyDescent="0.25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 x14ac:dyDescent="0.25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 x14ac:dyDescent="0.25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 x14ac:dyDescent="0.25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 x14ac:dyDescent="0.25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 x14ac:dyDescent="0.25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 x14ac:dyDescent="0.25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 x14ac:dyDescent="0.25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 x14ac:dyDescent="0.25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 x14ac:dyDescent="0.25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 x14ac:dyDescent="0.25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 x14ac:dyDescent="0.25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 x14ac:dyDescent="0.25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 x14ac:dyDescent="0.25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 x14ac:dyDescent="0.25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 x14ac:dyDescent="0.25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 x14ac:dyDescent="0.25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 x14ac:dyDescent="0.25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 x14ac:dyDescent="0.25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 x14ac:dyDescent="0.25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 x14ac:dyDescent="0.25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 x14ac:dyDescent="0.25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 x14ac:dyDescent="0.25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2" workbookViewId="0">
      <selection activeCell="J40" sqref="J40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 x14ac:dyDescent="0.2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3726</v>
      </c>
      <c r="AK23" s="103"/>
    </row>
    <row r="24" spans="5:37" x14ac:dyDescent="0.25">
      <c r="T24" t="s">
        <v>25</v>
      </c>
      <c r="AJ24" s="103" t="s">
        <v>3727</v>
      </c>
      <c r="AK24" s="103">
        <v>6145</v>
      </c>
    </row>
    <row r="25" spans="5:37" x14ac:dyDescent="0.25">
      <c r="AJ25" s="103" t="s">
        <v>3733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 x14ac:dyDescent="0.25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 x14ac:dyDescent="0.25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1121</v>
      </c>
      <c r="G39" s="96">
        <v>1200</v>
      </c>
      <c r="L39" s="59" t="s">
        <v>4233</v>
      </c>
      <c r="M39" s="69" t="s">
        <v>4232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1122</v>
      </c>
      <c r="G40" s="96">
        <v>14500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1123</v>
      </c>
      <c r="G42" s="99">
        <f>G36*G38*G39*G40/(G35*G37)+G41</f>
        <v>4100266.2379421215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03"/>
      <c r="AH50" s="103"/>
      <c r="AI50" s="192" t="s">
        <v>1095</v>
      </c>
      <c r="AJ50" s="192"/>
      <c r="AK50" s="192"/>
      <c r="AL50" s="192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2"/>
      <c r="AJ51" s="192"/>
      <c r="AK51" s="192"/>
      <c r="AL51" s="192"/>
    </row>
    <row r="52" spans="1:38" ht="15.75" x14ac:dyDescent="0.2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4132</v>
      </c>
      <c r="AI52" s="193" t="s">
        <v>1096</v>
      </c>
      <c r="AJ52" s="194" t="s">
        <v>1097</v>
      </c>
      <c r="AK52" s="193" t="s">
        <v>1098</v>
      </c>
      <c r="AL52" s="195" t="s">
        <v>1099</v>
      </c>
    </row>
    <row r="53" spans="1:38" x14ac:dyDescent="0.25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3"/>
      <c r="AJ53" s="194"/>
      <c r="AK53" s="193"/>
      <c r="AL53" s="195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5" t="s">
        <v>4200</v>
      </c>
      <c r="AH54" s="185">
        <v>2182188588</v>
      </c>
      <c r="AI54" s="186" t="s">
        <v>1100</v>
      </c>
      <c r="AJ54" s="186" t="s">
        <v>4133</v>
      </c>
      <c r="AK54" s="186" t="s">
        <v>4138</v>
      </c>
      <c r="AL54" s="186" t="s">
        <v>1101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5"/>
      <c r="AH55" s="185">
        <v>2126210865</v>
      </c>
      <c r="AI55" s="187" t="s">
        <v>1102</v>
      </c>
      <c r="AJ55" s="187" t="s">
        <v>1103</v>
      </c>
      <c r="AK55" s="187" t="s">
        <v>1104</v>
      </c>
      <c r="AL55" s="187" t="s">
        <v>1105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5"/>
      <c r="AH56" s="185">
        <v>2188831909</v>
      </c>
      <c r="AI56" s="103" t="s">
        <v>4135</v>
      </c>
      <c r="AJ56" s="103" t="s">
        <v>4136</v>
      </c>
      <c r="AK56" s="103" t="s">
        <v>4137</v>
      </c>
      <c r="AL56" s="188" t="s">
        <v>4139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4125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 x14ac:dyDescent="0.25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 x14ac:dyDescent="0.25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K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03"/>
    </row>
    <row r="92" spans="1:12" x14ac:dyDescent="0.25">
      <c r="A92" s="151" t="s">
        <v>3889</v>
      </c>
      <c r="B92" s="92">
        <f>120-'اوراق بدون ریسک'!$AD$19</f>
        <v>-46</v>
      </c>
      <c r="C92" s="152">
        <f t="shared" ref="C92:K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03">
        <v>27</v>
      </c>
    </row>
    <row r="93" spans="1:12" x14ac:dyDescent="0.25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0">
        <f t="shared" ref="L93:L114" si="7">$B$89/(1+(L$92/36500))^$B91</f>
        <v>3112993.8532509445</v>
      </c>
    </row>
    <row r="94" spans="1:12" x14ac:dyDescent="0.25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2">
        <f t="shared" si="7"/>
        <v>3103799.8119109599</v>
      </c>
    </row>
    <row r="95" spans="1:12" x14ac:dyDescent="0.25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55">
        <f t="shared" si="7"/>
        <v>3065027.1059483914</v>
      </c>
    </row>
    <row r="96" spans="1:12" x14ac:dyDescent="0.25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58">
        <f t="shared" si="7"/>
        <v>3112993.8532509445</v>
      </c>
    </row>
    <row r="97" spans="1:12" x14ac:dyDescent="0.25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61">
        <f t="shared" si="7"/>
        <v>2997782.4622881701</v>
      </c>
    </row>
    <row r="98" spans="1:12" x14ac:dyDescent="0.25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65">
        <f t="shared" si="7"/>
        <v>2966908.4958233908</v>
      </c>
    </row>
    <row r="99" spans="1:12" x14ac:dyDescent="0.25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46">
        <f t="shared" si="7"/>
        <v>2932013.1211113147</v>
      </c>
    </row>
    <row r="100" spans="1:12" x14ac:dyDescent="0.25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10">
        <f t="shared" si="7"/>
        <v>2895386.3766328269</v>
      </c>
    </row>
    <row r="101" spans="1:12" x14ac:dyDescent="0.25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70">
        <f t="shared" si="7"/>
        <v>2773833.5508211046</v>
      </c>
    </row>
    <row r="102" spans="1:12" x14ac:dyDescent="0.25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7"/>
        <v>2712977.4989004759</v>
      </c>
    </row>
    <row r="103" spans="1:12" x14ac:dyDescent="0.25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7"/>
        <v>2679086.9501465699</v>
      </c>
    </row>
    <row r="104" spans="1:12" x14ac:dyDescent="0.25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55">
        <f t="shared" si="7"/>
        <v>2649535.277813145</v>
      </c>
    </row>
    <row r="105" spans="1:12" x14ac:dyDescent="0.25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58">
        <f t="shared" si="7"/>
        <v>2620309.5752425361</v>
      </c>
    </row>
    <row r="106" spans="1:12" x14ac:dyDescent="0.25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70">
        <f t="shared" si="7"/>
        <v>2597161.2938292432</v>
      </c>
    </row>
    <row r="107" spans="1:12" x14ac:dyDescent="0.25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7"/>
        <v>2576121.7241473971</v>
      </c>
    </row>
    <row r="108" spans="1:12" x14ac:dyDescent="0.25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8">
        <f t="shared" si="7"/>
        <v>2540181.313002083</v>
      </c>
    </row>
    <row r="109" spans="1:12" x14ac:dyDescent="0.25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7"/>
        <v>2510304.9016201333</v>
      </c>
    </row>
    <row r="110" spans="1:12" x14ac:dyDescent="0.25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5">
        <f t="shared" si="7"/>
        <v>2220328.3597272853</v>
      </c>
    </row>
    <row r="111" spans="1:12" x14ac:dyDescent="0.25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63">
        <f t="shared" si="7"/>
        <v>2210499.2154048751</v>
      </c>
    </row>
    <row r="112" spans="1:12" x14ac:dyDescent="0.25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8">
        <f t="shared" si="7"/>
        <v>1943622.7587041636</v>
      </c>
    </row>
    <row r="113" spans="1:12" x14ac:dyDescent="0.25">
      <c r="A113" s="100"/>
      <c r="B113" s="100"/>
      <c r="C113" s="100"/>
      <c r="D113" s="100"/>
      <c r="E113" s="100"/>
      <c r="F113" s="100"/>
      <c r="L113" s="170">
        <f t="shared" si="7"/>
        <v>1937882.3850204186</v>
      </c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1913674.3340964844</v>
      </c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3760</v>
      </c>
      <c r="I1" t="s">
        <v>3766</v>
      </c>
    </row>
    <row r="2" spans="1:12" x14ac:dyDescent="0.25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 x14ac:dyDescent="0.25">
      <c r="A3">
        <v>2</v>
      </c>
      <c r="B3" t="s">
        <v>3755</v>
      </c>
      <c r="G3" s="127"/>
      <c r="H3" t="s">
        <v>3762</v>
      </c>
      <c r="I3" t="s">
        <v>3768</v>
      </c>
    </row>
    <row r="4" spans="1:12" x14ac:dyDescent="0.25">
      <c r="A4">
        <v>3</v>
      </c>
      <c r="B4" t="s">
        <v>3756</v>
      </c>
      <c r="H4" t="s">
        <v>3763</v>
      </c>
      <c r="L4" s="127"/>
    </row>
    <row r="5" spans="1:12" x14ac:dyDescent="0.25">
      <c r="H5" t="s">
        <v>3765</v>
      </c>
    </row>
    <row r="6" spans="1:12" x14ac:dyDescent="0.25">
      <c r="B6" s="127" t="s">
        <v>3759</v>
      </c>
      <c r="H6" t="s">
        <v>3769</v>
      </c>
    </row>
    <row r="7" spans="1:12" x14ac:dyDescent="0.25">
      <c r="H7" t="s">
        <v>3770</v>
      </c>
    </row>
    <row r="8" spans="1:12" x14ac:dyDescent="0.25">
      <c r="H8" t="s">
        <v>3771</v>
      </c>
    </row>
    <row r="9" spans="1:12" x14ac:dyDescent="0.25">
      <c r="H9" t="s">
        <v>3784</v>
      </c>
    </row>
    <row r="10" spans="1:12" x14ac:dyDescent="0.25">
      <c r="H10" t="s">
        <v>3785</v>
      </c>
    </row>
    <row r="11" spans="1:12" x14ac:dyDescent="0.25">
      <c r="H11" t="s">
        <v>3786</v>
      </c>
    </row>
    <row r="12" spans="1:12" x14ac:dyDescent="0.25">
      <c r="H12" t="s">
        <v>3788</v>
      </c>
    </row>
    <row r="13" spans="1:12" x14ac:dyDescent="0.25">
      <c r="H13" t="s">
        <v>3787</v>
      </c>
    </row>
    <row r="18" spans="1:8" x14ac:dyDescent="0.25">
      <c r="A18" s="103" t="s">
        <v>3772</v>
      </c>
      <c r="B18" s="103"/>
      <c r="C18" s="103"/>
      <c r="D18" s="103"/>
    </row>
    <row r="19" spans="1:8" x14ac:dyDescent="0.25">
      <c r="A19" s="103">
        <v>1</v>
      </c>
      <c r="B19" s="103" t="s">
        <v>3773</v>
      </c>
      <c r="C19" s="103" t="s">
        <v>3775</v>
      </c>
      <c r="D19" s="103"/>
    </row>
    <row r="20" spans="1:8" x14ac:dyDescent="0.25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3782</v>
      </c>
      <c r="H38" s="22"/>
    </row>
    <row r="39" spans="1:8" x14ac:dyDescent="0.25">
      <c r="A39">
        <v>1</v>
      </c>
      <c r="B39" t="s">
        <v>3779</v>
      </c>
    </row>
    <row r="40" spans="1:8" x14ac:dyDescent="0.25">
      <c r="A40">
        <v>2</v>
      </c>
      <c r="B40" t="s">
        <v>3783</v>
      </c>
    </row>
    <row r="41" spans="1:8" x14ac:dyDescent="0.25">
      <c r="A41">
        <v>3</v>
      </c>
      <c r="B41" t="s">
        <v>3780</v>
      </c>
    </row>
    <row r="42" spans="1:8" x14ac:dyDescent="0.25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 x14ac:dyDescent="0.2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 x14ac:dyDescent="0.2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 x14ac:dyDescent="0.2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3885</v>
      </c>
      <c r="R8" t="s">
        <v>3940</v>
      </c>
      <c r="S8" t="s">
        <v>3993</v>
      </c>
    </row>
    <row r="9" spans="2:19" x14ac:dyDescent="0.25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943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2" activePane="bottomLeft" state="frozen"/>
      <selection pane="bottomLeft" activeCell="M29" sqref="M29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4197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4198</v>
      </c>
      <c r="R8" s="119" t="s">
        <v>4199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M20" t="s">
        <v>4070</v>
      </c>
      <c r="N20" t="s">
        <v>4155</v>
      </c>
      <c r="O20" t="s">
        <v>4156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4" t="s">
        <v>25</v>
      </c>
      <c r="B104" s="175"/>
      <c r="C104" s="176"/>
      <c r="D104" s="174"/>
      <c r="E104" s="174"/>
      <c r="F104" s="174"/>
      <c r="G104" s="174"/>
    </row>
    <row r="105" spans="1:7" x14ac:dyDescent="0.25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I34" zoomScaleNormal="100" workbookViewId="0">
      <selection activeCell="M52" sqref="M5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34.85546875" style="100" bestFit="1" customWidth="1"/>
    <col min="45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  <c r="AO6" s="103" t="s">
        <v>4219</v>
      </c>
      <c r="AP6" s="103" t="s">
        <v>267</v>
      </c>
      <c r="AQ6" s="103" t="s">
        <v>180</v>
      </c>
      <c r="AR6" s="103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  <c r="AO7" s="103">
        <v>1</v>
      </c>
      <c r="AP7" s="117">
        <v>4960000</v>
      </c>
      <c r="AQ7" s="103" t="s">
        <v>4220</v>
      </c>
      <c r="AR7" s="103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  <c r="AO8" s="103">
        <v>2</v>
      </c>
      <c r="AP8" s="117">
        <v>15000000</v>
      </c>
      <c r="AQ8" s="103" t="s">
        <v>4210</v>
      </c>
      <c r="AR8" s="103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  <c r="AO9" s="103">
        <v>3</v>
      </c>
      <c r="AP9" s="117">
        <v>15000000</v>
      </c>
      <c r="AQ9" s="103" t="s">
        <v>4211</v>
      </c>
      <c r="AR9" s="103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  <c r="AO10" s="103">
        <v>4</v>
      </c>
      <c r="AP10" s="181">
        <v>3000000</v>
      </c>
      <c r="AQ10" s="103" t="s">
        <v>4221</v>
      </c>
      <c r="AR10" s="103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  <c r="AO11" s="103">
        <v>5</v>
      </c>
      <c r="AP11" s="181">
        <v>2500000</v>
      </c>
      <c r="AQ11" s="103" t="s">
        <v>4212</v>
      </c>
      <c r="AR11" s="103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  <c r="AO12" s="103">
        <v>6</v>
      </c>
      <c r="AP12" s="181">
        <v>2500000</v>
      </c>
      <c r="AQ12" s="103" t="s">
        <v>4223</v>
      </c>
      <c r="AR12" s="103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  <c r="AO13" s="103">
        <v>7</v>
      </c>
      <c r="AP13" s="181">
        <v>-150000</v>
      </c>
      <c r="AQ13" s="103" t="s">
        <v>4234</v>
      </c>
      <c r="AR13" s="103" t="s">
        <v>4254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  <c r="AO14" s="103">
        <v>8</v>
      </c>
      <c r="AP14" s="181">
        <v>-250000</v>
      </c>
      <c r="AQ14" s="103" t="s">
        <v>4243</v>
      </c>
      <c r="AR14" s="103" t="s">
        <v>4262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0" t="s">
        <v>451</v>
      </c>
      <c r="L15" s="180" t="s">
        <v>452</v>
      </c>
      <c r="M15" s="180"/>
      <c r="N15" s="180" t="s">
        <v>752</v>
      </c>
      <c r="R15" s="119"/>
      <c r="S15" s="120"/>
      <c r="T15" s="120"/>
      <c r="U15" s="119"/>
      <c r="V15" s="119"/>
      <c r="W15" s="120"/>
      <c r="X15" s="119"/>
      <c r="Y15" s="119"/>
      <c r="AO15" s="103">
        <v>9</v>
      </c>
      <c r="AP15" s="181">
        <v>-696454</v>
      </c>
      <c r="AQ15" s="103" t="s">
        <v>4243</v>
      </c>
      <c r="AR15" s="103" t="s">
        <v>4255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0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  <c r="AO16" s="103"/>
      <c r="AP16" s="181"/>
      <c r="AQ16" s="103"/>
      <c r="AR16" s="103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0" t="s">
        <v>453</v>
      </c>
      <c r="L17" s="121">
        <f>'مسکن علی سید الشهدا'!B85</f>
        <v>27903</v>
      </c>
      <c r="M17" s="180" t="s">
        <v>657</v>
      </c>
      <c r="N17" s="117">
        <f>سارا!D222</f>
        <v>-7785606</v>
      </c>
      <c r="P17" s="28"/>
      <c r="Q17" s="181">
        <v>74302282</v>
      </c>
      <c r="R17" s="180" t="s">
        <v>4038</v>
      </c>
      <c r="S17" s="180">
        <v>4</v>
      </c>
      <c r="T17" s="180" t="s">
        <v>4083</v>
      </c>
      <c r="U17" s="119"/>
      <c r="V17" s="119"/>
      <c r="W17" s="120"/>
      <c r="X17" s="119"/>
      <c r="Y17" s="119"/>
      <c r="AO17" s="103"/>
      <c r="AP17" s="103"/>
      <c r="AQ17" s="103"/>
      <c r="AR17" s="103"/>
    </row>
    <row r="18" spans="1:52" ht="21" x14ac:dyDescent="0.3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0" t="s">
        <v>683</v>
      </c>
      <c r="L18" s="121">
        <v>1000000</v>
      </c>
      <c r="M18" s="103" t="s">
        <v>4124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3"/>
      <c r="AP18" s="99">
        <f>SUM(AP7:AP17)</f>
        <v>41863546</v>
      </c>
      <c r="AQ18" s="103"/>
      <c r="AR18" s="197" t="s">
        <v>4265</v>
      </c>
      <c r="AT18" s="100"/>
      <c r="AU18" s="100"/>
      <c r="AV18" s="100"/>
      <c r="AW18" s="100"/>
      <c r="AX18" s="100"/>
      <c r="AY18" s="100"/>
      <c r="AZ18" s="100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4195</v>
      </c>
      <c r="K19" s="180" t="s">
        <v>4208</v>
      </c>
      <c r="L19" s="121">
        <f>-مهر97!D54</f>
        <v>46838165</v>
      </c>
      <c r="M19" s="180" t="s">
        <v>4250</v>
      </c>
      <c r="N19" s="117">
        <f>48028*P33</f>
        <v>9221376</v>
      </c>
      <c r="O19" s="178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4100</v>
      </c>
      <c r="AJ19" s="69" t="s">
        <v>4092</v>
      </c>
      <c r="AK19" s="69" t="s">
        <v>282</v>
      </c>
      <c r="AL19" s="103"/>
      <c r="AN19" s="100"/>
      <c r="AO19" s="103"/>
      <c r="AP19" s="103" t="s">
        <v>6</v>
      </c>
      <c r="AQ19" s="103"/>
      <c r="AR19" s="103"/>
      <c r="AT19" s="100"/>
      <c r="AU19" s="100"/>
      <c r="AV19" s="100"/>
      <c r="AW19" s="100"/>
      <c r="AX19" s="100"/>
      <c r="AY19" s="100"/>
      <c r="AZ19" s="100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4196</v>
      </c>
      <c r="K20" s="180"/>
      <c r="L20" s="121"/>
      <c r="M20" s="180" t="s">
        <v>4180</v>
      </c>
      <c r="N20" s="117">
        <f>109*P34</f>
        <v>75319</v>
      </c>
      <c r="O20" s="189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170</v>
      </c>
      <c r="AK20" s="117">
        <f>AH20*AJ20</f>
        <v>3060000000</v>
      </c>
      <c r="AL20" s="103"/>
      <c r="AN20" s="100"/>
      <c r="AR20"/>
      <c r="AT20" s="100"/>
      <c r="AU20" s="100"/>
      <c r="AV20" s="100"/>
      <c r="AW20" s="100"/>
      <c r="AX20" s="100"/>
      <c r="AY20" s="100"/>
      <c r="AZ20" s="100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>
        <f>L45</f>
        <v>93781367</v>
      </c>
      <c r="G21" s="29">
        <f t="shared" si="0"/>
        <v>17172943.586118653</v>
      </c>
      <c r="H21" s="11"/>
      <c r="J21" s="25"/>
      <c r="K21" s="180" t="s">
        <v>456</v>
      </c>
      <c r="L21" s="121">
        <v>110000</v>
      </c>
      <c r="M21" s="180" t="s">
        <v>4237</v>
      </c>
      <c r="N21" s="117">
        <f>235*P35</f>
        <v>41947.5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169</v>
      </c>
      <c r="AK21" s="117">
        <f t="shared" ref="AK21:AK79" si="5">AH21*AJ21</f>
        <v>422500000</v>
      </c>
      <c r="AL21" s="103"/>
      <c r="AN21" s="100"/>
      <c r="AR21"/>
      <c r="AT21" s="100"/>
      <c r="AU21" s="100"/>
      <c r="AV21" s="100"/>
      <c r="AW21" s="100"/>
      <c r="AX21" s="100"/>
      <c r="AY21" s="100"/>
      <c r="AZ21" s="100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0" t="s">
        <v>732</v>
      </c>
      <c r="L22" s="121">
        <v>0</v>
      </c>
      <c r="M22" s="180" t="s">
        <v>757</v>
      </c>
      <c r="N22" s="117">
        <v>3000000</v>
      </c>
      <c r="O22" s="22"/>
      <c r="P22" s="100"/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168</v>
      </c>
      <c r="AK22" s="117">
        <f t="shared" si="5"/>
        <v>1344000000</v>
      </c>
      <c r="AL22" s="103"/>
      <c r="AN22" s="100"/>
      <c r="AR22"/>
      <c r="AT22" s="100"/>
      <c r="AU22" s="100"/>
      <c r="AV22" s="100"/>
      <c r="AW22" s="100"/>
      <c r="AX22" s="100"/>
      <c r="AY22" s="100"/>
      <c r="AZ22" s="100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0" t="s">
        <v>919</v>
      </c>
      <c r="L23" s="121">
        <v>4800000</v>
      </c>
      <c r="M23" s="180" t="s">
        <v>4209</v>
      </c>
      <c r="N23" s="117">
        <f>-1*L19</f>
        <v>-46838165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4096</v>
      </c>
      <c r="AH23" s="117">
        <v>-79552</v>
      </c>
      <c r="AI23" s="103">
        <v>1</v>
      </c>
      <c r="AJ23" s="103">
        <f t="shared" si="4"/>
        <v>167</v>
      </c>
      <c r="AK23" s="117">
        <f t="shared" si="5"/>
        <v>-13285184</v>
      </c>
      <c r="AL23" s="103"/>
      <c r="AN23" s="100"/>
      <c r="AT23" s="100"/>
      <c r="AU23" s="100"/>
      <c r="AV23" s="100"/>
      <c r="AW23" s="100"/>
      <c r="AX23" s="100"/>
      <c r="AY23" s="100"/>
      <c r="AZ23" s="100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0" t="s">
        <v>930</v>
      </c>
      <c r="L24" s="121">
        <v>0</v>
      </c>
      <c r="M24" s="180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166</v>
      </c>
      <c r="AK24" s="117">
        <f t="shared" si="5"/>
        <v>27473000</v>
      </c>
      <c r="AL24" s="103"/>
      <c r="AN24" s="100"/>
      <c r="AT24" s="100"/>
      <c r="AU24" s="100"/>
      <c r="AV24" s="100"/>
      <c r="AW24" s="100"/>
      <c r="AX24" s="100"/>
      <c r="AY24" s="100"/>
      <c r="AZ24" s="100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0" t="s">
        <v>1091</v>
      </c>
      <c r="L25" s="121">
        <f>سکه!T22</f>
        <v>91000000</v>
      </c>
      <c r="M25" s="180" t="s">
        <v>761</v>
      </c>
      <c r="N25" s="117">
        <v>1200000</v>
      </c>
      <c r="O25" t="s">
        <v>25</v>
      </c>
      <c r="P25" t="s">
        <v>4230</v>
      </c>
      <c r="Q25" t="s">
        <v>4229</v>
      </c>
      <c r="R25" s="119"/>
      <c r="S25" s="119"/>
      <c r="T25" s="119"/>
      <c r="U25" s="119"/>
      <c r="W25" s="119"/>
      <c r="X25" s="119"/>
      <c r="Y25" s="119"/>
      <c r="Z25" s="119"/>
      <c r="AA25" s="119"/>
      <c r="AB25" s="119"/>
      <c r="AC25" s="119"/>
      <c r="AD25" s="119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154</v>
      </c>
      <c r="AK25" s="117">
        <f t="shared" si="5"/>
        <v>-4439870358</v>
      </c>
      <c r="AL25" s="103"/>
      <c r="AN25" s="100"/>
      <c r="AT25" s="100"/>
      <c r="AU25" s="100"/>
      <c r="AV25" s="100"/>
      <c r="AW25" s="100"/>
      <c r="AX25" s="100"/>
      <c r="AY25" s="100"/>
      <c r="AZ25" s="100"/>
    </row>
    <row r="26" spans="1:52" ht="60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0" t="s">
        <v>4207</v>
      </c>
      <c r="L26" s="121">
        <v>-50000000</v>
      </c>
      <c r="M26" s="73" t="s">
        <v>3997</v>
      </c>
      <c r="N26" s="117">
        <v>4000000</v>
      </c>
      <c r="O26" s="22" t="s">
        <v>4109</v>
      </c>
      <c r="P26">
        <f>240000/3810000</f>
        <v>6.2992125984251968E-2</v>
      </c>
      <c r="Q26">
        <f>2260000/4754000</f>
        <v>0.47538914598233067</v>
      </c>
      <c r="W26" s="119"/>
      <c r="X26" s="119"/>
      <c r="Y26" s="119"/>
      <c r="Z26" s="119"/>
      <c r="AA26" s="119"/>
      <c r="AB26" s="119"/>
      <c r="AC26" s="119"/>
      <c r="AD26" s="119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148</v>
      </c>
      <c r="AK26" s="117">
        <f t="shared" si="5"/>
        <v>2738000000</v>
      </c>
      <c r="AL26" s="103"/>
      <c r="AN26" s="100"/>
      <c r="AT26" s="100"/>
      <c r="AU26" s="100"/>
      <c r="AV26" s="100"/>
      <c r="AW26" s="100"/>
      <c r="AX26" s="100"/>
      <c r="AY26" s="100"/>
      <c r="AZ26" s="100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0"/>
      <c r="L27" s="121"/>
      <c r="M27" s="180" t="s">
        <v>1091</v>
      </c>
      <c r="N27" s="117">
        <v>106500000</v>
      </c>
      <c r="W27" s="119"/>
      <c r="X27" s="119"/>
      <c r="Y27" s="119"/>
      <c r="Z27" s="119"/>
      <c r="AA27" s="119"/>
      <c r="AB27" s="119"/>
      <c r="AC27" s="119"/>
      <c r="AD27" s="119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147</v>
      </c>
      <c r="AK27" s="117">
        <f t="shared" si="5"/>
        <v>-2726850000</v>
      </c>
      <c r="AL27" s="103"/>
      <c r="AN27" s="100"/>
      <c r="AT27" s="100"/>
      <c r="AU27" s="100"/>
      <c r="AV27" s="100"/>
      <c r="AW27" s="100"/>
      <c r="AX27" s="100"/>
      <c r="AY27" s="100"/>
      <c r="AZ27" s="100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0"/>
      <c r="L28" s="121"/>
      <c r="M28" s="180" t="s">
        <v>4123</v>
      </c>
      <c r="N28" s="117">
        <v>-20000000</v>
      </c>
      <c r="V28" s="26"/>
      <c r="W28" s="119"/>
      <c r="X28" s="119"/>
      <c r="Y28" s="119"/>
      <c r="Z28" s="119"/>
      <c r="AA28" s="119"/>
      <c r="AB28" s="119"/>
      <c r="AC28" s="119"/>
      <c r="AD28" s="119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146</v>
      </c>
      <c r="AK28" s="117">
        <f t="shared" si="5"/>
        <v>-9484306</v>
      </c>
      <c r="AL28" s="103"/>
      <c r="AN28" s="100"/>
      <c r="AT28" s="100"/>
      <c r="AU28" s="100"/>
      <c r="AV28" s="100"/>
      <c r="AW28" s="100"/>
      <c r="AX28" s="100"/>
      <c r="AY28" s="100"/>
      <c r="AZ28" s="100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0"/>
      <c r="L29" s="121"/>
      <c r="M29" s="180" t="s">
        <v>4207</v>
      </c>
      <c r="N29" s="117">
        <v>-50000000</v>
      </c>
      <c r="O29" s="100"/>
      <c r="P29" s="100"/>
      <c r="V29" s="26"/>
      <c r="W29" s="119"/>
      <c r="X29" s="119"/>
      <c r="Y29" s="119"/>
      <c r="Z29" s="119"/>
      <c r="AA29" s="119"/>
      <c r="AB29" s="119"/>
      <c r="AC29" s="119"/>
      <c r="AD29" s="119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141</v>
      </c>
      <c r="AK29" s="117">
        <f t="shared" si="5"/>
        <v>902400000</v>
      </c>
      <c r="AL29" s="103"/>
      <c r="AN29" s="100"/>
      <c r="AT29" s="100"/>
      <c r="AU29" s="100"/>
      <c r="AV29" s="100"/>
      <c r="AW29" s="100"/>
      <c r="AX29" s="100"/>
      <c r="AY29" s="100"/>
      <c r="AZ29" s="100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0" t="s">
        <v>3922</v>
      </c>
      <c r="N30" s="117">
        <v>75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19"/>
      <c r="X30" s="119"/>
      <c r="Y30" s="119"/>
      <c r="Z30" s="119"/>
      <c r="AA30" s="119"/>
      <c r="AB30" s="119"/>
      <c r="AC30" s="119"/>
      <c r="AD30" s="119"/>
      <c r="AF30" s="103">
        <v>11</v>
      </c>
      <c r="AG30" s="117" t="s">
        <v>4097</v>
      </c>
      <c r="AH30" s="117">
        <v>-170000</v>
      </c>
      <c r="AI30" s="103">
        <v>5</v>
      </c>
      <c r="AJ30" s="103">
        <f t="shared" si="4"/>
        <v>140</v>
      </c>
      <c r="AK30" s="117">
        <f t="shared" si="5"/>
        <v>-23800000</v>
      </c>
      <c r="AL30" s="103"/>
      <c r="AN30" s="100"/>
      <c r="AT30" s="100"/>
      <c r="AU30" s="100"/>
      <c r="AV30" s="100"/>
      <c r="AW30" s="100"/>
      <c r="AX30" s="100"/>
      <c r="AY30" s="100"/>
      <c r="AZ30" s="100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180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19"/>
      <c r="X31" s="119"/>
      <c r="Y31" s="119"/>
      <c r="Z31" s="119"/>
      <c r="AA31" s="119"/>
      <c r="AB31" s="119"/>
      <c r="AC31" s="119"/>
      <c r="AD31" s="119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135</v>
      </c>
      <c r="AK31" s="117">
        <f t="shared" si="5"/>
        <v>-850500000</v>
      </c>
      <c r="AL31" s="103"/>
      <c r="AN31" s="100"/>
      <c r="AT31" s="100"/>
      <c r="AU31" s="100"/>
      <c r="AV31" s="100"/>
      <c r="AW31" s="100"/>
      <c r="AX31" s="100"/>
      <c r="AY31" s="100"/>
      <c r="AZ31" s="100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81">
        <v>53805</v>
      </c>
      <c r="R32" s="116" t="s">
        <v>4185</v>
      </c>
      <c r="S32" s="116">
        <v>12</v>
      </c>
      <c r="T32" s="116" t="s">
        <v>4186</v>
      </c>
      <c r="U32" s="117">
        <f t="shared" ref="U32" si="6">Q32*0.02*S32/31</f>
        <v>416.55483870967737</v>
      </c>
      <c r="V32" s="26"/>
      <c r="W32" s="119"/>
      <c r="X32" s="119"/>
      <c r="Y32" s="119"/>
      <c r="Z32" s="119"/>
      <c r="AA32" s="119"/>
      <c r="AB32" s="119"/>
      <c r="AC32" s="119"/>
      <c r="AD32" s="119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134</v>
      </c>
      <c r="AK32" s="117">
        <f t="shared" si="5"/>
        <v>-6970010</v>
      </c>
      <c r="AL32" s="103"/>
      <c r="AN32" s="100"/>
      <c r="AT32" s="100"/>
      <c r="AU32" s="100"/>
      <c r="AV32" s="100"/>
      <c r="AW32" s="100"/>
      <c r="AX32" s="100"/>
      <c r="AY32" s="100"/>
      <c r="AZ32" s="100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80" t="s">
        <v>4251</v>
      </c>
      <c r="N33" s="117">
        <f>O33*P33</f>
        <v>244227072</v>
      </c>
      <c r="O33" s="103">
        <v>1272016</v>
      </c>
      <c r="P33" s="103">
        <v>192</v>
      </c>
      <c r="Q33" s="181">
        <v>40131</v>
      </c>
      <c r="R33" s="180" t="s">
        <v>4234</v>
      </c>
      <c r="S33" s="180">
        <f>S32-11</f>
        <v>1</v>
      </c>
      <c r="T33" s="180" t="s">
        <v>4239</v>
      </c>
      <c r="W33" s="119"/>
      <c r="X33" s="119"/>
      <c r="Y33" s="119"/>
      <c r="Z33" s="119"/>
      <c r="AA33" s="119"/>
      <c r="AB33" s="119"/>
      <c r="AC33" s="119"/>
      <c r="AD33" s="119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118</v>
      </c>
      <c r="AK33" s="117">
        <f t="shared" si="5"/>
        <v>2362053200</v>
      </c>
      <c r="AL33" s="103"/>
      <c r="AN33" s="100"/>
      <c r="AT33" s="100"/>
      <c r="AU33" s="100"/>
      <c r="AV33" s="100"/>
      <c r="AW33" s="100"/>
      <c r="AX33" s="100"/>
      <c r="AY33" s="100"/>
      <c r="AZ33" s="100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0" t="s">
        <v>4213</v>
      </c>
      <c r="N34" s="117">
        <f>O34*P34</f>
        <v>75319</v>
      </c>
      <c r="O34" s="190">
        <v>109</v>
      </c>
      <c r="P34" s="103">
        <v>691</v>
      </c>
      <c r="Q34" s="181">
        <v>244702685</v>
      </c>
      <c r="R34" s="180" t="s">
        <v>4243</v>
      </c>
      <c r="S34" s="180">
        <f>S33-1</f>
        <v>0</v>
      </c>
      <c r="T34" s="180" t="s">
        <v>4259</v>
      </c>
      <c r="W34" s="119"/>
      <c r="X34" s="119"/>
      <c r="Y34" s="119"/>
      <c r="Z34" s="119"/>
      <c r="AA34" s="119"/>
      <c r="AB34" s="119"/>
      <c r="AC34" s="119"/>
      <c r="AD34" s="119"/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118</v>
      </c>
      <c r="AK34" s="117">
        <f t="shared" si="5"/>
        <v>119706988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56"/>
      <c r="L35" s="121"/>
      <c r="M35" s="8" t="s">
        <v>4238</v>
      </c>
      <c r="N35" s="117">
        <f>O35*P35</f>
        <v>41947.5</v>
      </c>
      <c r="O35" s="177">
        <v>235</v>
      </c>
      <c r="P35" s="103">
        <v>178.5</v>
      </c>
      <c r="Q35" s="181"/>
      <c r="R35" s="180"/>
      <c r="S35" s="180"/>
      <c r="T35" s="180"/>
      <c r="U35" s="100"/>
      <c r="W35" s="119"/>
      <c r="X35" s="119"/>
      <c r="Y35" s="119"/>
      <c r="Z35" s="119"/>
      <c r="AA35" s="119"/>
      <c r="AB35" s="119"/>
      <c r="AC35" s="119"/>
      <c r="AD35" s="119"/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106</v>
      </c>
      <c r="AK35" s="117">
        <f t="shared" si="5"/>
        <v>38160000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17">
        <f>SUM(N31:N36)-SUM(Q32:Q34)</f>
        <v>-452282.5</v>
      </c>
      <c r="R36" s="116"/>
      <c r="S36" s="116"/>
      <c r="T36" s="116"/>
      <c r="U36" s="100"/>
      <c r="W36" s="119"/>
      <c r="X36" s="119"/>
      <c r="Y36" s="119"/>
      <c r="Z36" s="119"/>
      <c r="AA36" s="119"/>
      <c r="AB36" s="119"/>
      <c r="AC36" s="119"/>
      <c r="AD36" s="119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104</v>
      </c>
      <c r="AK36" s="117">
        <f t="shared" si="5"/>
        <v>-36400000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56"/>
      <c r="L37" s="121"/>
      <c r="M37" s="103" t="s">
        <v>4227</v>
      </c>
      <c r="N37" s="117">
        <v>3409000</v>
      </c>
      <c r="O37" s="103"/>
      <c r="P37" s="103"/>
      <c r="R37" t="s">
        <v>25</v>
      </c>
      <c r="T37" t="s">
        <v>25</v>
      </c>
      <c r="U37" s="100"/>
      <c r="W37" s="119"/>
      <c r="X37" s="119"/>
      <c r="Y37" s="119"/>
      <c r="Z37" s="119"/>
      <c r="AA37" s="119"/>
      <c r="AB37" s="119"/>
      <c r="AC37" s="119"/>
      <c r="AD37" s="119"/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104</v>
      </c>
      <c r="AK37" s="117">
        <f t="shared" si="5"/>
        <v>104000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103"/>
      <c r="L38" s="103"/>
      <c r="M38" s="73" t="s">
        <v>4261</v>
      </c>
      <c r="N38" s="121">
        <v>150000</v>
      </c>
      <c r="Q38" t="s">
        <v>25</v>
      </c>
      <c r="R38" t="s">
        <v>25</v>
      </c>
      <c r="T38" t="s">
        <v>25</v>
      </c>
      <c r="U38" s="100"/>
      <c r="W38" s="119"/>
      <c r="X38" s="119"/>
      <c r="Y38" s="119"/>
      <c r="Z38" s="119"/>
      <c r="AA38" s="119"/>
      <c r="AB38" s="119"/>
      <c r="AC38" s="119"/>
      <c r="AD38" s="119"/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103</v>
      </c>
      <c r="AK38" s="117">
        <f t="shared" si="5"/>
        <v>3461830000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9"/>
      <c r="X39" s="119"/>
      <c r="Y39" s="119"/>
      <c r="Z39" s="119"/>
      <c r="AA39" s="119"/>
      <c r="AB39" s="119"/>
      <c r="AC39" s="119"/>
      <c r="AD39" s="119"/>
      <c r="AF39" s="103">
        <v>20</v>
      </c>
      <c r="AG39" s="117" t="s">
        <v>4098</v>
      </c>
      <c r="AH39" s="117">
        <v>-15600000</v>
      </c>
      <c r="AI39" s="103">
        <v>3</v>
      </c>
      <c r="AJ39" s="103">
        <f t="shared" si="4"/>
        <v>99</v>
      </c>
      <c r="AK39" s="117">
        <f t="shared" si="5"/>
        <v>-1544400000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K40" s="103"/>
      <c r="L40" s="103"/>
      <c r="M40" s="180" t="s">
        <v>1179</v>
      </c>
      <c r="N40" s="121">
        <v>2041308</v>
      </c>
      <c r="O40" s="100" t="s">
        <v>25</v>
      </c>
      <c r="P40" t="s">
        <v>25</v>
      </c>
      <c r="T40" t="s">
        <v>1021</v>
      </c>
      <c r="U40">
        <v>4.8999999999999998E-3</v>
      </c>
      <c r="V40"/>
      <c r="W40" s="119"/>
      <c r="X40" s="119"/>
      <c r="Y40" s="119"/>
      <c r="Z40" s="119"/>
      <c r="AA40" s="119"/>
      <c r="AB40" s="119"/>
      <c r="AC40" s="119"/>
      <c r="AD40" s="119"/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96</v>
      </c>
      <c r="AK40" s="117">
        <f t="shared" si="5"/>
        <v>720000000</v>
      </c>
      <c r="AL40" s="103"/>
      <c r="AN40" s="100"/>
      <c r="AO40" s="103" t="s">
        <v>1080</v>
      </c>
      <c r="AP40" s="103" t="s">
        <v>267</v>
      </c>
      <c r="AQ40" s="103" t="s">
        <v>180</v>
      </c>
      <c r="AR40" s="103"/>
      <c r="AT40" s="100"/>
      <c r="AU40" s="100"/>
      <c r="AV40" s="100"/>
      <c r="AW40" s="100"/>
      <c r="AX40" s="100"/>
      <c r="AY40" s="100"/>
      <c r="AZ40" s="100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K41" s="103"/>
      <c r="L41" s="103"/>
      <c r="M41" s="180" t="s">
        <v>1180</v>
      </c>
      <c r="N41" s="121">
        <v>5282</v>
      </c>
      <c r="O41" s="100"/>
      <c r="T41" t="s">
        <v>6</v>
      </c>
      <c r="U41">
        <f>U39+U40</f>
        <v>1.12E-2</v>
      </c>
      <c r="V41"/>
      <c r="W41" s="119"/>
      <c r="X41" s="119"/>
      <c r="Y41" s="119"/>
      <c r="Z41" s="119"/>
      <c r="AA41" s="119" t="s">
        <v>25</v>
      </c>
      <c r="AB41" s="119"/>
      <c r="AC41" s="119"/>
      <c r="AD41" s="119"/>
      <c r="AF41" s="103">
        <v>22</v>
      </c>
      <c r="AG41" s="117" t="s">
        <v>4099</v>
      </c>
      <c r="AH41" s="117">
        <v>-98000</v>
      </c>
      <c r="AI41" s="103">
        <v>1</v>
      </c>
      <c r="AJ41" s="103">
        <f t="shared" si="4"/>
        <v>92</v>
      </c>
      <c r="AK41" s="117">
        <f t="shared" si="5"/>
        <v>-9016000</v>
      </c>
      <c r="AL41" s="103"/>
      <c r="AN41" s="100"/>
      <c r="AO41" s="103">
        <v>1</v>
      </c>
      <c r="AP41" s="181">
        <v>5000000</v>
      </c>
      <c r="AQ41" s="103" t="s">
        <v>4211</v>
      </c>
      <c r="AR41" s="103" t="s">
        <v>4256</v>
      </c>
      <c r="AT41" s="100"/>
      <c r="AU41" s="100"/>
      <c r="AV41" s="100"/>
      <c r="AW41" s="100"/>
      <c r="AX41" s="100"/>
      <c r="AY41" s="100"/>
      <c r="AZ41" s="100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K42" s="180"/>
      <c r="L42" s="121"/>
      <c r="M42" s="180" t="s">
        <v>4252</v>
      </c>
      <c r="N42" s="117">
        <f>-O42*P33</f>
        <v>-41648448</v>
      </c>
      <c r="O42" s="103">
        <v>216919</v>
      </c>
      <c r="P42" s="103">
        <f>P33</f>
        <v>192</v>
      </c>
      <c r="R42" t="s">
        <v>25</v>
      </c>
      <c r="U42" s="100"/>
      <c r="AB42" t="s">
        <v>25</v>
      </c>
      <c r="AC42" t="s">
        <v>25</v>
      </c>
      <c r="AF42" s="103">
        <v>23</v>
      </c>
      <c r="AG42" s="117" t="s">
        <v>4093</v>
      </c>
      <c r="AH42" s="117">
        <v>-26000000</v>
      </c>
      <c r="AI42" s="103">
        <v>0</v>
      </c>
      <c r="AJ42" s="103">
        <f t="shared" si="4"/>
        <v>91</v>
      </c>
      <c r="AK42" s="117">
        <f t="shared" si="5"/>
        <v>-2366000000</v>
      </c>
      <c r="AL42" s="103"/>
      <c r="AN42" s="100"/>
      <c r="AO42" s="103">
        <v>2</v>
      </c>
      <c r="AP42" s="181">
        <v>13000000</v>
      </c>
      <c r="AQ42" s="103" t="s">
        <v>4223</v>
      </c>
      <c r="AR42" s="103" t="s">
        <v>4257</v>
      </c>
      <c r="AT42" s="100"/>
      <c r="AU42" s="100"/>
      <c r="AV42" s="100"/>
      <c r="AW42" s="100"/>
      <c r="AX42" s="100"/>
      <c r="AY42" s="100"/>
      <c r="AZ42" s="100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K43" s="180" t="s">
        <v>25</v>
      </c>
      <c r="L43" s="121"/>
      <c r="M43" s="180" t="s">
        <v>4253</v>
      </c>
      <c r="N43" s="117">
        <f>-O43*P43</f>
        <v>-17740416</v>
      </c>
      <c r="O43" s="103">
        <v>92398</v>
      </c>
      <c r="P43" s="103">
        <f>P42</f>
        <v>192</v>
      </c>
      <c r="U43" t="s">
        <v>4165</v>
      </c>
      <c r="V43"/>
      <c r="AF43" s="103">
        <v>24</v>
      </c>
      <c r="AG43" s="117" t="s">
        <v>4093</v>
      </c>
      <c r="AH43" s="117">
        <v>25000000</v>
      </c>
      <c r="AI43" s="103">
        <v>1</v>
      </c>
      <c r="AJ43" s="103">
        <f t="shared" si="4"/>
        <v>91</v>
      </c>
      <c r="AK43" s="117">
        <f t="shared" si="5"/>
        <v>2275000000</v>
      </c>
      <c r="AL43" s="103"/>
      <c r="AN43" s="100"/>
      <c r="AO43" s="103">
        <v>3</v>
      </c>
      <c r="AP43" s="181">
        <v>-168093</v>
      </c>
      <c r="AQ43" s="103" t="s">
        <v>4243</v>
      </c>
      <c r="AR43" s="103" t="s">
        <v>4258</v>
      </c>
      <c r="AT43" s="100"/>
      <c r="AU43" s="100"/>
      <c r="AV43" s="100"/>
      <c r="AW43" s="100"/>
      <c r="AX43" s="100"/>
      <c r="AY43" s="100"/>
      <c r="AZ43" s="100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180"/>
      <c r="L44" s="121"/>
      <c r="M44" s="180"/>
      <c r="N44" s="117"/>
      <c r="O44" s="100"/>
      <c r="P44" s="100"/>
      <c r="U44" t="s">
        <v>4166</v>
      </c>
      <c r="V44">
        <v>2.6199999999999999E-3</v>
      </c>
      <c r="AF44" s="103">
        <v>25</v>
      </c>
      <c r="AG44" s="117" t="s">
        <v>4094</v>
      </c>
      <c r="AH44" s="117">
        <v>110000</v>
      </c>
      <c r="AI44" s="103">
        <v>1</v>
      </c>
      <c r="AJ44" s="103">
        <f t="shared" si="4"/>
        <v>90</v>
      </c>
      <c r="AK44" s="117">
        <f t="shared" si="5"/>
        <v>9900000</v>
      </c>
      <c r="AL44" s="103"/>
      <c r="AO44" s="103"/>
      <c r="AP44" s="181"/>
      <c r="AQ44" s="103"/>
      <c r="AR44" s="103"/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80" t="s">
        <v>598</v>
      </c>
      <c r="L45" s="117">
        <f>SUM(L16:L38)</f>
        <v>93781367</v>
      </c>
      <c r="M45" s="180"/>
      <c r="N45" s="117">
        <f>SUM(N16:N44)</f>
        <v>190530011</v>
      </c>
      <c r="O45" t="s">
        <v>25</v>
      </c>
      <c r="U45" t="s">
        <v>4167</v>
      </c>
      <c r="V45">
        <v>2.7799999999999999E-3</v>
      </c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89</v>
      </c>
      <c r="AK45" s="117">
        <f t="shared" si="5"/>
        <v>33820000</v>
      </c>
      <c r="AL45" s="103"/>
      <c r="AO45" s="103"/>
      <c r="AP45" s="181"/>
      <c r="AQ45" s="103"/>
      <c r="AR45" s="103"/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80" t="s">
        <v>599</v>
      </c>
      <c r="L46" s="117">
        <f>L16+L17+L21</f>
        <v>143202</v>
      </c>
      <c r="M46" s="180"/>
      <c r="N46" s="117">
        <f>N16+N17+N24</f>
        <v>-7267301</v>
      </c>
      <c r="U46" t="s">
        <v>4168</v>
      </c>
      <c r="V46" t="s">
        <v>4169</v>
      </c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82</v>
      </c>
      <c r="AK46" s="117">
        <f t="shared" si="5"/>
        <v>36900000</v>
      </c>
      <c r="AL46" s="103"/>
      <c r="AO46" s="103"/>
      <c r="AP46" s="181"/>
      <c r="AQ46" s="103"/>
      <c r="AR46" s="103"/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56" t="s">
        <v>716</v>
      </c>
      <c r="L47" s="1">
        <f>L45+N7</f>
        <v>163781367</v>
      </c>
      <c r="M47" s="117"/>
      <c r="N47" s="180"/>
      <c r="O47" s="22"/>
      <c r="P47" t="s">
        <v>25</v>
      </c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76</v>
      </c>
      <c r="AK47" s="117">
        <f t="shared" si="5"/>
        <v>212800000</v>
      </c>
      <c r="AL47" s="103"/>
      <c r="AO47" s="103"/>
      <c r="AP47" s="181"/>
      <c r="AQ47" s="103"/>
      <c r="AR47" s="103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M48" t="s">
        <v>4110</v>
      </c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75</v>
      </c>
      <c r="AK48" s="117">
        <f t="shared" si="5"/>
        <v>-112500000</v>
      </c>
      <c r="AL48" s="103"/>
      <c r="AO48" s="103"/>
      <c r="AP48" s="181"/>
      <c r="AQ48" s="103"/>
      <c r="AR48" s="103"/>
    </row>
    <row r="49" spans="1:44" ht="18.75" x14ac:dyDescent="0.3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M49" s="25" t="s">
        <v>4158</v>
      </c>
      <c r="O49" t="s">
        <v>25</v>
      </c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75</v>
      </c>
      <c r="AK49" s="117">
        <f t="shared" si="5"/>
        <v>228750000</v>
      </c>
      <c r="AL49" s="103"/>
      <c r="AO49" s="103"/>
      <c r="AP49" s="181">
        <f>SUM(AP41:AP47)</f>
        <v>17831907</v>
      </c>
      <c r="AQ49" s="103"/>
      <c r="AR49" s="196" t="s">
        <v>4264</v>
      </c>
    </row>
    <row r="50" spans="1:44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M50" s="25" t="s">
        <v>4126</v>
      </c>
      <c r="P50" t="s">
        <v>25</v>
      </c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72</v>
      </c>
      <c r="AK50" s="117">
        <f t="shared" si="5"/>
        <v>-597572064</v>
      </c>
      <c r="AL50" s="103"/>
      <c r="AO50" s="103"/>
      <c r="AP50" s="103" t="s">
        <v>6</v>
      </c>
      <c r="AQ50" s="103"/>
      <c r="AR50" s="103"/>
    </row>
    <row r="51" spans="1:44" ht="30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M51" s="189" t="s">
        <v>4162</v>
      </c>
      <c r="Q51" s="116" t="s">
        <v>1138</v>
      </c>
      <c r="R51" s="116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70</v>
      </c>
      <c r="AK51" s="117">
        <f t="shared" si="5"/>
        <v>350000000</v>
      </c>
      <c r="AL51" s="103"/>
    </row>
    <row r="52" spans="1:44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3"/>
      <c r="L52" s="11" t="s">
        <v>304</v>
      </c>
      <c r="M52" s="126"/>
      <c r="N52" s="100"/>
      <c r="Q52" s="116" t="s">
        <v>267</v>
      </c>
      <c r="R52" s="116" t="s">
        <v>1153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56</v>
      </c>
      <c r="AK52" s="117">
        <f t="shared" si="5"/>
        <v>-5040000</v>
      </c>
      <c r="AL52" s="103"/>
    </row>
    <row r="53" spans="1:44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1" t="s">
        <v>305</v>
      </c>
      <c r="L53" s="1">
        <v>70000</v>
      </c>
      <c r="M53" s="126"/>
      <c r="N53" s="100" t="s">
        <v>25</v>
      </c>
      <c r="Q53" s="14">
        <v>110000</v>
      </c>
      <c r="R53" s="116" t="s">
        <v>1154</v>
      </c>
      <c r="AB53" t="s">
        <v>25</v>
      </c>
      <c r="AF53" s="103">
        <v>34</v>
      </c>
      <c r="AG53" s="117" t="s">
        <v>4095</v>
      </c>
      <c r="AH53" s="117">
        <v>5600000</v>
      </c>
      <c r="AI53" s="103">
        <v>4</v>
      </c>
      <c r="AJ53" s="103">
        <f t="shared" si="4"/>
        <v>55</v>
      </c>
      <c r="AK53" s="117">
        <f t="shared" si="5"/>
        <v>308000000</v>
      </c>
      <c r="AL53" s="103"/>
    </row>
    <row r="54" spans="1:44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1" t="s">
        <v>321</v>
      </c>
      <c r="L54" s="1">
        <v>100000</v>
      </c>
      <c r="M54" s="126"/>
      <c r="Q54" s="14">
        <v>-7000000</v>
      </c>
      <c r="R54" s="116" t="s">
        <v>1155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51</v>
      </c>
      <c r="AK54" s="117">
        <f t="shared" si="5"/>
        <v>38250000</v>
      </c>
      <c r="AL54" s="103"/>
    </row>
    <row r="55" spans="1:44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1" t="s">
        <v>306</v>
      </c>
      <c r="L55" s="1">
        <v>80000</v>
      </c>
      <c r="M55" s="126"/>
      <c r="Q55" s="14">
        <f>سارا!C222</f>
        <v>7906317</v>
      </c>
      <c r="R55" s="116" t="s">
        <v>1156</v>
      </c>
      <c r="AF55" s="183">
        <v>36</v>
      </c>
      <c r="AG55" s="182" t="s">
        <v>4032</v>
      </c>
      <c r="AH55" s="182">
        <v>-4242000</v>
      </c>
      <c r="AI55" s="183">
        <v>2</v>
      </c>
      <c r="AJ55" s="183">
        <f t="shared" si="4"/>
        <v>49</v>
      </c>
      <c r="AK55" s="182">
        <f t="shared" si="5"/>
        <v>-207858000</v>
      </c>
      <c r="AL55" s="183" t="s">
        <v>4104</v>
      </c>
    </row>
    <row r="56" spans="1:44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1" t="s">
        <v>307</v>
      </c>
      <c r="L56" s="1">
        <v>150000</v>
      </c>
      <c r="M56" s="100"/>
      <c r="Q56" s="14">
        <f>N19+N20</f>
        <v>9296695</v>
      </c>
      <c r="R56" s="56" t="s">
        <v>3749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47</v>
      </c>
      <c r="AK56" s="117">
        <f t="shared" si="5"/>
        <v>192700000</v>
      </c>
      <c r="AL56" s="103"/>
    </row>
    <row r="57" spans="1:44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1" t="s">
        <v>308</v>
      </c>
      <c r="L57" s="1">
        <v>300000</v>
      </c>
      <c r="M57" s="100"/>
      <c r="Q57" s="14">
        <v>1200000</v>
      </c>
      <c r="R57" s="56" t="s">
        <v>1157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47</v>
      </c>
      <c r="AK57" s="117">
        <f t="shared" si="5"/>
        <v>192700000</v>
      </c>
      <c r="AL57" s="103"/>
    </row>
    <row r="58" spans="1:44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1" t="s">
        <v>309</v>
      </c>
      <c r="L58" s="1">
        <v>100000</v>
      </c>
      <c r="M58" s="100"/>
      <c r="Q58" s="121">
        <v>118000000</v>
      </c>
      <c r="R58" s="56" t="s">
        <v>4111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46</v>
      </c>
      <c r="AK58" s="117">
        <f t="shared" si="5"/>
        <v>36340000</v>
      </c>
      <c r="AL58" s="103"/>
    </row>
    <row r="59" spans="1:44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1" t="s">
        <v>310</v>
      </c>
      <c r="L59" s="1">
        <v>200000</v>
      </c>
      <c r="M59" s="100"/>
      <c r="Q59" s="121">
        <f>N26</f>
        <v>4000000</v>
      </c>
      <c r="R59" s="56" t="s">
        <v>4194</v>
      </c>
      <c r="AF59" s="183">
        <v>40</v>
      </c>
      <c r="AG59" s="182" t="s">
        <v>4078</v>
      </c>
      <c r="AH59" s="182">
        <v>-3865000</v>
      </c>
      <c r="AI59" s="183">
        <v>6</v>
      </c>
      <c r="AJ59" s="183">
        <f t="shared" si="4"/>
        <v>31</v>
      </c>
      <c r="AK59" s="184">
        <f t="shared" si="5"/>
        <v>-119815000</v>
      </c>
      <c r="AL59" s="183" t="s">
        <v>4105</v>
      </c>
    </row>
    <row r="60" spans="1:44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18" t="s">
        <v>311</v>
      </c>
      <c r="L60" s="18">
        <v>300000</v>
      </c>
      <c r="M60" s="100"/>
      <c r="Q60" s="121">
        <v>-44103000</v>
      </c>
      <c r="R60" s="56" t="s">
        <v>4193</v>
      </c>
      <c r="AF60" s="20">
        <v>41</v>
      </c>
      <c r="AG60" s="121" t="s">
        <v>4112</v>
      </c>
      <c r="AH60" s="121">
        <v>18800000</v>
      </c>
      <c r="AI60" s="20">
        <v>3</v>
      </c>
      <c r="AJ60" s="103">
        <f t="shared" si="4"/>
        <v>25</v>
      </c>
      <c r="AK60" s="117">
        <f t="shared" si="5"/>
        <v>470000000</v>
      </c>
      <c r="AL60" s="20"/>
    </row>
    <row r="61" spans="1:44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312</v>
      </c>
      <c r="L61" s="1">
        <v>200000</v>
      </c>
      <c r="M61" s="100"/>
      <c r="N61" s="100"/>
      <c r="O61" s="100"/>
      <c r="Q61" s="14">
        <v>2500000</v>
      </c>
      <c r="R61" s="56" t="s">
        <v>1149</v>
      </c>
      <c r="AF61" s="20">
        <v>42</v>
      </c>
      <c r="AG61" s="121" t="s">
        <v>4130</v>
      </c>
      <c r="AH61" s="121">
        <v>500000</v>
      </c>
      <c r="AI61" s="20">
        <v>1</v>
      </c>
      <c r="AJ61" s="103">
        <f t="shared" si="4"/>
        <v>22</v>
      </c>
      <c r="AK61" s="117">
        <f t="shared" si="5"/>
        <v>11000000</v>
      </c>
      <c r="AL61" s="20"/>
    </row>
    <row r="62" spans="1:44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313</v>
      </c>
      <c r="L62" s="1">
        <v>20000</v>
      </c>
      <c r="M62" s="100"/>
      <c r="N62" s="100"/>
      <c r="O62" s="100"/>
      <c r="Q62" s="121">
        <v>1200000</v>
      </c>
      <c r="R62" s="56" t="s">
        <v>3939</v>
      </c>
      <c r="AF62" s="20">
        <v>43</v>
      </c>
      <c r="AG62" s="121" t="s">
        <v>4134</v>
      </c>
      <c r="AH62" s="121">
        <v>200000</v>
      </c>
      <c r="AI62" s="20">
        <v>3</v>
      </c>
      <c r="AJ62" s="103">
        <f>AJ63+AI62</f>
        <v>21</v>
      </c>
      <c r="AK62" s="117">
        <f t="shared" si="5"/>
        <v>4200000</v>
      </c>
      <c r="AL62" s="20"/>
    </row>
    <row r="63" spans="1:44" x14ac:dyDescent="0.25">
      <c r="E63" s="26"/>
      <c r="K63" s="32" t="s">
        <v>315</v>
      </c>
      <c r="L63" s="1">
        <v>50000</v>
      </c>
      <c r="M63" s="100"/>
      <c r="N63" s="100"/>
      <c r="O63" s="100"/>
      <c r="Q63" s="14">
        <f>N40</f>
        <v>2041308</v>
      </c>
      <c r="R63" s="56" t="s">
        <v>1138</v>
      </c>
      <c r="AF63" s="20">
        <v>44</v>
      </c>
      <c r="AG63" s="121" t="s">
        <v>4141</v>
      </c>
      <c r="AH63" s="121">
        <v>1000000</v>
      </c>
      <c r="AI63" s="20">
        <v>3</v>
      </c>
      <c r="AJ63" s="103">
        <f t="shared" si="4"/>
        <v>18</v>
      </c>
      <c r="AK63" s="117">
        <f t="shared" si="5"/>
        <v>18000000</v>
      </c>
      <c r="AL63" s="20"/>
    </row>
    <row r="64" spans="1:44" x14ac:dyDescent="0.25">
      <c r="E64" s="26"/>
      <c r="K64" s="32" t="s">
        <v>316</v>
      </c>
      <c r="L64" s="1">
        <v>90000</v>
      </c>
      <c r="M64" s="100"/>
      <c r="N64" s="100"/>
      <c r="O64" s="100"/>
      <c r="Q64" s="121"/>
      <c r="R64" s="56"/>
      <c r="AF64" s="20">
        <v>45</v>
      </c>
      <c r="AG64" s="121" t="s">
        <v>4153</v>
      </c>
      <c r="AH64" s="121">
        <v>1300000</v>
      </c>
      <c r="AI64" s="20">
        <v>0</v>
      </c>
      <c r="AJ64" s="103">
        <f>AJ65+AI64</f>
        <v>15</v>
      </c>
      <c r="AK64" s="117">
        <f t="shared" si="5"/>
        <v>19500000</v>
      </c>
      <c r="AL64" s="20"/>
    </row>
    <row r="65" spans="1:38" x14ac:dyDescent="0.25">
      <c r="K65" s="32" t="s">
        <v>317</v>
      </c>
      <c r="L65" s="1">
        <v>50000</v>
      </c>
      <c r="M65" s="100"/>
      <c r="N65" s="100"/>
      <c r="O65" s="100"/>
      <c r="Q65" s="121"/>
      <c r="R65" s="56"/>
      <c r="AF65" s="20">
        <v>45</v>
      </c>
      <c r="AG65" s="121" t="s">
        <v>4153</v>
      </c>
      <c r="AH65" s="121">
        <v>995000</v>
      </c>
      <c r="AI65" s="20">
        <v>2</v>
      </c>
      <c r="AJ65" s="103">
        <f t="shared" ref="AJ65:AJ79" si="10">AJ66+AI65</f>
        <v>15</v>
      </c>
      <c r="AK65" s="117">
        <f t="shared" si="5"/>
        <v>14925000</v>
      </c>
      <c r="AL65" s="20"/>
    </row>
    <row r="66" spans="1:38" x14ac:dyDescent="0.25">
      <c r="K66" s="32" t="s">
        <v>327</v>
      </c>
      <c r="L66" s="1">
        <v>150000</v>
      </c>
      <c r="M66" s="100"/>
      <c r="N66" s="100"/>
      <c r="O66" s="100"/>
      <c r="Q66" s="121"/>
      <c r="R66" s="56"/>
      <c r="S66" s="119"/>
      <c r="T66" s="119"/>
      <c r="AF66" s="20">
        <v>46</v>
      </c>
      <c r="AG66" s="121" t="s">
        <v>4170</v>
      </c>
      <c r="AH66" s="121">
        <v>13000000</v>
      </c>
      <c r="AI66" s="20">
        <v>2</v>
      </c>
      <c r="AJ66" s="103">
        <f t="shared" si="10"/>
        <v>13</v>
      </c>
      <c r="AK66" s="117">
        <f t="shared" si="5"/>
        <v>169000000</v>
      </c>
      <c r="AL66" s="20"/>
    </row>
    <row r="67" spans="1:38" x14ac:dyDescent="0.25">
      <c r="A67" t="s">
        <v>25</v>
      </c>
      <c r="F67" t="s">
        <v>310</v>
      </c>
      <c r="G67" t="s">
        <v>4145</v>
      </c>
      <c r="K67" s="32" t="s">
        <v>318</v>
      </c>
      <c r="L67" s="1">
        <v>15000</v>
      </c>
      <c r="N67" s="100"/>
      <c r="Q67" s="121"/>
      <c r="R67" s="56"/>
      <c r="S67" s="119"/>
      <c r="T67" s="119"/>
      <c r="AF67" s="20">
        <v>47</v>
      </c>
      <c r="AG67" s="121" t="s">
        <v>4184</v>
      </c>
      <c r="AH67" s="121">
        <v>-3100000</v>
      </c>
      <c r="AI67" s="20">
        <v>3</v>
      </c>
      <c r="AJ67" s="103">
        <f t="shared" si="10"/>
        <v>11</v>
      </c>
      <c r="AK67" s="117">
        <f t="shared" si="5"/>
        <v>-34100000</v>
      </c>
      <c r="AL67" s="20"/>
    </row>
    <row r="68" spans="1:38" x14ac:dyDescent="0.25">
      <c r="F68" t="s">
        <v>4149</v>
      </c>
      <c r="G68" t="s">
        <v>4144</v>
      </c>
      <c r="K68" s="32" t="s">
        <v>319</v>
      </c>
      <c r="L68" s="1">
        <v>20000</v>
      </c>
      <c r="N68" s="100"/>
      <c r="Q68" s="121"/>
      <c r="R68" s="56"/>
      <c r="S68" s="119"/>
      <c r="T68" s="119"/>
      <c r="AF68" s="20">
        <v>48</v>
      </c>
      <c r="AG68" s="121" t="s">
        <v>4203</v>
      </c>
      <c r="AH68" s="121">
        <v>45600000</v>
      </c>
      <c r="AI68" s="20">
        <v>1</v>
      </c>
      <c r="AJ68" s="103">
        <f t="shared" si="10"/>
        <v>8</v>
      </c>
      <c r="AK68" s="117">
        <f t="shared" si="5"/>
        <v>364800000</v>
      </c>
      <c r="AL68" s="20"/>
    </row>
    <row r="69" spans="1:38" x14ac:dyDescent="0.25">
      <c r="F69" t="s">
        <v>4150</v>
      </c>
      <c r="G69" t="s">
        <v>4146</v>
      </c>
      <c r="K69" s="32" t="s">
        <v>320</v>
      </c>
      <c r="L69" s="1">
        <v>40000</v>
      </c>
      <c r="N69" s="100"/>
      <c r="Q69" s="117">
        <f>SUM(Q53:Q67)</f>
        <v>95151320</v>
      </c>
      <c r="R69" s="56" t="s">
        <v>1159</v>
      </c>
      <c r="S69" s="119"/>
      <c r="T69" s="119"/>
      <c r="W69" s="119"/>
      <c r="AF69" s="20">
        <v>49</v>
      </c>
      <c r="AG69" s="121" t="s">
        <v>4214</v>
      </c>
      <c r="AH69" s="121">
        <v>33500000</v>
      </c>
      <c r="AI69" s="20">
        <v>1</v>
      </c>
      <c r="AJ69" s="103">
        <f t="shared" si="10"/>
        <v>7</v>
      </c>
      <c r="AK69" s="117">
        <f t="shared" si="5"/>
        <v>234500000</v>
      </c>
      <c r="AL69" s="20"/>
    </row>
    <row r="70" spans="1:38" x14ac:dyDescent="0.25">
      <c r="G70" t="s">
        <v>4147</v>
      </c>
      <c r="K70" s="32" t="s">
        <v>322</v>
      </c>
      <c r="L70" s="1">
        <v>150000</v>
      </c>
      <c r="N70" s="100"/>
      <c r="Q70" s="121"/>
      <c r="R70" s="56"/>
      <c r="S70" s="126"/>
      <c r="W70" s="172"/>
      <c r="AF70" s="20">
        <v>50</v>
      </c>
      <c r="AG70" s="121" t="s">
        <v>4222</v>
      </c>
      <c r="AH70" s="121">
        <v>12000000</v>
      </c>
      <c r="AI70" s="20">
        <v>1</v>
      </c>
      <c r="AJ70" s="103">
        <f t="shared" si="10"/>
        <v>6</v>
      </c>
      <c r="AK70" s="121">
        <f t="shared" si="5"/>
        <v>72000000</v>
      </c>
      <c r="AL70" s="20"/>
    </row>
    <row r="71" spans="1:38" x14ac:dyDescent="0.25">
      <c r="G71" t="s">
        <v>4148</v>
      </c>
      <c r="K71" s="32" t="s">
        <v>324</v>
      </c>
      <c r="L71" s="1">
        <v>75000</v>
      </c>
      <c r="Q71" s="121"/>
      <c r="R71" s="56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4229</v>
      </c>
      <c r="AH71" s="121">
        <v>15500000</v>
      </c>
      <c r="AI71" s="20">
        <v>4</v>
      </c>
      <c r="AJ71" s="103">
        <f t="shared" si="10"/>
        <v>5</v>
      </c>
      <c r="AK71" s="121">
        <f t="shared" si="5"/>
        <v>77500000</v>
      </c>
      <c r="AL71" s="20"/>
    </row>
    <row r="72" spans="1:38" x14ac:dyDescent="0.25">
      <c r="G72" t="s">
        <v>4152</v>
      </c>
      <c r="K72" s="32" t="s">
        <v>314</v>
      </c>
      <c r="L72" s="1">
        <v>140000</v>
      </c>
      <c r="Q72" s="126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4234</v>
      </c>
      <c r="AH72" s="121">
        <v>150000</v>
      </c>
      <c r="AI72" s="20">
        <v>1</v>
      </c>
      <c r="AJ72" s="103">
        <f t="shared" si="10"/>
        <v>1</v>
      </c>
      <c r="AK72" s="121">
        <f t="shared" si="5"/>
        <v>150000</v>
      </c>
      <c r="AL72" s="20"/>
    </row>
    <row r="73" spans="1:38" x14ac:dyDescent="0.25">
      <c r="G73" t="s">
        <v>4151</v>
      </c>
      <c r="K73" s="2" t="s">
        <v>478</v>
      </c>
      <c r="L73" s="3">
        <v>1083333</v>
      </c>
      <c r="P73" s="119"/>
      <c r="W73" s="119"/>
      <c r="X73" s="132"/>
      <c r="Y73" s="119"/>
      <c r="Z73" s="119"/>
      <c r="AA73" s="119"/>
      <c r="AB73" s="132"/>
      <c r="AC73" s="119"/>
      <c r="AD73" s="119"/>
      <c r="AF73" s="198">
        <v>53</v>
      </c>
      <c r="AG73" s="199" t="s">
        <v>4243</v>
      </c>
      <c r="AH73" s="199">
        <v>29000000</v>
      </c>
      <c r="AI73" s="198"/>
      <c r="AJ73" s="198">
        <f t="shared" si="10"/>
        <v>0</v>
      </c>
      <c r="AK73" s="199">
        <f t="shared" si="5"/>
        <v>0</v>
      </c>
      <c r="AL73" s="198" t="s">
        <v>4266</v>
      </c>
    </row>
    <row r="74" spans="1:38" x14ac:dyDescent="0.25">
      <c r="K74" s="2"/>
      <c r="L74" s="3"/>
      <c r="P74" s="132"/>
      <c r="W74" s="119"/>
      <c r="X74" s="132"/>
      <c r="Y74" s="119"/>
      <c r="Z74" s="119"/>
      <c r="AA74" s="119"/>
      <c r="AB74" s="132"/>
      <c r="AC74" s="119"/>
      <c r="AD74" s="119"/>
      <c r="AF74" s="20"/>
      <c r="AG74" s="121"/>
      <c r="AH74" s="121"/>
      <c r="AI74" s="20"/>
      <c r="AJ74" s="103">
        <f t="shared" si="10"/>
        <v>0</v>
      </c>
      <c r="AK74" s="121">
        <f t="shared" si="5"/>
        <v>0</v>
      </c>
      <c r="AL74" s="20"/>
    </row>
    <row r="75" spans="1:38" x14ac:dyDescent="0.25">
      <c r="K75" s="2"/>
      <c r="L75" s="3"/>
      <c r="P75" s="132"/>
      <c r="Q75" s="22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>
        <v>0</v>
      </c>
      <c r="AI75" s="20"/>
      <c r="AJ75" s="103">
        <f t="shared" si="10"/>
        <v>0</v>
      </c>
      <c r="AK75" s="121">
        <f>AH75*AJ75</f>
        <v>0</v>
      </c>
      <c r="AL75" s="20"/>
    </row>
    <row r="76" spans="1:38" x14ac:dyDescent="0.25">
      <c r="K76" s="2" t="s">
        <v>6</v>
      </c>
      <c r="L76" s="3">
        <f>SUM(L53:L74)</f>
        <v>3383333</v>
      </c>
      <c r="P76" s="119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>
        <f t="shared" si="10"/>
        <v>0</v>
      </c>
      <c r="AK76" s="121">
        <f t="shared" si="5"/>
        <v>0</v>
      </c>
      <c r="AL76" s="20"/>
    </row>
    <row r="77" spans="1:38" x14ac:dyDescent="0.25">
      <c r="K77" s="2" t="s">
        <v>328</v>
      </c>
      <c r="L77" s="3">
        <f>L76/30</f>
        <v>112777.76666666666</v>
      </c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>
        <f t="shared" si="10"/>
        <v>0</v>
      </c>
      <c r="AK77" s="121">
        <f t="shared" si="5"/>
        <v>0</v>
      </c>
      <c r="AL77" s="20"/>
    </row>
    <row r="78" spans="1:38" x14ac:dyDescent="0.25">
      <c r="O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10"/>
        <v>0</v>
      </c>
      <c r="AK78" s="121">
        <f t="shared" si="5"/>
        <v>0</v>
      </c>
      <c r="AL78" s="103"/>
    </row>
    <row r="79" spans="1:38" x14ac:dyDescent="0.25">
      <c r="O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10"/>
        <v>0</v>
      </c>
      <c r="AK79" s="121">
        <f t="shared" si="5"/>
        <v>0</v>
      </c>
      <c r="AL79" s="103"/>
    </row>
    <row r="80" spans="1:38" x14ac:dyDescent="0.25">
      <c r="W80" s="119"/>
      <c r="X80" s="119"/>
      <c r="Y80" s="119"/>
      <c r="AC80" s="119"/>
      <c r="AD80" s="119"/>
      <c r="AF80" s="103"/>
      <c r="AG80" s="103"/>
      <c r="AH80" s="99">
        <f>SUM(AH20:AH78)</f>
        <v>222551899</v>
      </c>
      <c r="AI80" s="103"/>
      <c r="AJ80" s="103"/>
      <c r="AK80" s="99">
        <f>SUM(AK20:AK71)</f>
        <v>7463351266</v>
      </c>
      <c r="AL80" s="99">
        <f>AK80*AL83/31</f>
        <v>4815065.3329032259</v>
      </c>
    </row>
    <row r="81" spans="11:50" x14ac:dyDescent="0.25">
      <c r="X81" s="119"/>
      <c r="Y81" s="119"/>
      <c r="AC81" s="119"/>
      <c r="AD81" s="119"/>
      <c r="AF81" s="103"/>
      <c r="AG81" s="103"/>
      <c r="AH81" s="103" t="s">
        <v>4101</v>
      </c>
      <c r="AI81" s="103"/>
      <c r="AJ81" s="103"/>
      <c r="AK81" s="103" t="s">
        <v>284</v>
      </c>
      <c r="AL81" s="103" t="s">
        <v>917</v>
      </c>
    </row>
    <row r="82" spans="11:50" x14ac:dyDescent="0.25">
      <c r="X82" s="119"/>
      <c r="Y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 x14ac:dyDescent="0.25">
      <c r="K83" s="48" t="s">
        <v>789</v>
      </c>
      <c r="L83" s="48" t="s">
        <v>476</v>
      </c>
      <c r="AF83" s="103"/>
      <c r="AG83" s="103"/>
      <c r="AH83" s="103"/>
      <c r="AI83" s="103"/>
      <c r="AJ83" s="103"/>
      <c r="AK83" s="103" t="s">
        <v>4102</v>
      </c>
      <c r="AL83" s="103">
        <v>0.02</v>
      </c>
      <c r="AO83" t="s">
        <v>25</v>
      </c>
      <c r="AU83" t="s">
        <v>25</v>
      </c>
    </row>
    <row r="84" spans="11:50" x14ac:dyDescent="0.25">
      <c r="K84" s="47">
        <v>700000</v>
      </c>
      <c r="L84" s="48" t="s">
        <v>1041</v>
      </c>
      <c r="AF84" s="103"/>
      <c r="AG84" s="103"/>
      <c r="AH84" s="103"/>
      <c r="AI84" s="103"/>
      <c r="AJ84" s="103"/>
      <c r="AK84" s="103"/>
      <c r="AL84" s="103"/>
    </row>
    <row r="85" spans="11:50" x14ac:dyDescent="0.25">
      <c r="K85" s="47">
        <v>500000</v>
      </c>
      <c r="L85" s="48" t="s">
        <v>479</v>
      </c>
      <c r="AF85" s="103"/>
      <c r="AG85" s="103" t="s">
        <v>4103</v>
      </c>
      <c r="AH85" s="99">
        <f>AH80+AL80</f>
        <v>227366964.33290324</v>
      </c>
      <c r="AI85" s="103"/>
      <c r="AJ85" s="103"/>
      <c r="AK85" s="103"/>
      <c r="AL85" s="103"/>
      <c r="AR85" s="100" t="s">
        <v>25</v>
      </c>
      <c r="AX85" t="s">
        <v>25</v>
      </c>
    </row>
    <row r="86" spans="11:50" x14ac:dyDescent="0.25">
      <c r="K86" s="47">
        <v>180000</v>
      </c>
      <c r="L86" s="48" t="s">
        <v>558</v>
      </c>
      <c r="AG86" t="s">
        <v>4106</v>
      </c>
      <c r="AH86" s="118">
        <f>SUM(N33:N35)</f>
        <v>244344338.5</v>
      </c>
      <c r="AT86" t="s">
        <v>25</v>
      </c>
    </row>
    <row r="87" spans="11:50" x14ac:dyDescent="0.25">
      <c r="K87" s="47">
        <v>0</v>
      </c>
      <c r="L87" s="48" t="s">
        <v>785</v>
      </c>
      <c r="AG87" t="s">
        <v>4192</v>
      </c>
      <c r="AH87" s="118">
        <f>AH86-AH80</f>
        <v>21792439.5</v>
      </c>
      <c r="AS87" s="100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8">
        <f>AL80</f>
        <v>4815065.3329032259</v>
      </c>
      <c r="AS88" s="100" t="s">
        <v>25</v>
      </c>
    </row>
    <row r="89" spans="11:50" x14ac:dyDescent="0.25">
      <c r="K89" s="47">
        <v>500000</v>
      </c>
      <c r="L89" s="48" t="s">
        <v>787</v>
      </c>
      <c r="AG89" t="s">
        <v>4107</v>
      </c>
      <c r="AH89" s="118">
        <f>AH86-AH85</f>
        <v>16977374.167096764</v>
      </c>
    </row>
    <row r="90" spans="11:50" x14ac:dyDescent="0.25">
      <c r="K90" s="47">
        <v>75000</v>
      </c>
      <c r="L90" s="48" t="s">
        <v>788</v>
      </c>
      <c r="AT90" t="s">
        <v>25</v>
      </c>
    </row>
    <row r="91" spans="11:50" x14ac:dyDescent="0.25">
      <c r="K91" s="47">
        <v>0</v>
      </c>
      <c r="L91" s="48" t="s">
        <v>790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2018-09-23T20:33:29Z</dcterms:modified>
</cp:coreProperties>
</file>