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3" activeTab="30"/>
  </bookViews>
  <sheets>
    <sheet name="اسفند 96" sheetId="31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لیست خرید و فروش" sheetId="32" r:id="rId31"/>
    <sheet name="اوراق بدون ریسک" sheetId="33" r:id="rId32"/>
  </sheets>
  <calcPr calcId="145621"/>
</workbook>
</file>

<file path=xl/calcChain.xml><?xml version="1.0" encoding="utf-8"?>
<calcChain xmlns="http://schemas.openxmlformats.org/spreadsheetml/2006/main">
  <c r="F90" i="32" l="1"/>
  <c r="G90" i="32"/>
  <c r="G89" i="32"/>
  <c r="F89" i="32"/>
  <c r="C62" i="32"/>
  <c r="C61" i="32"/>
  <c r="K36" i="32"/>
  <c r="L83" i="32"/>
  <c r="L84" i="32"/>
  <c r="L85" i="32"/>
  <c r="K79" i="32"/>
  <c r="K81" i="32"/>
  <c r="K82" i="32"/>
  <c r="K83" i="32"/>
  <c r="K84" i="32"/>
  <c r="K85" i="32"/>
  <c r="E86" i="32" l="1"/>
  <c r="C63" i="32"/>
  <c r="C60" i="32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L10" i="32" s="1"/>
  <c r="M7" i="32"/>
  <c r="G80" i="32"/>
  <c r="F79" i="32"/>
  <c r="F80" i="32"/>
  <c r="L80" i="32" s="1"/>
  <c r="F81" i="32"/>
  <c r="L81" i="32" s="1"/>
  <c r="F82" i="32"/>
  <c r="L82" i="32" s="1"/>
  <c r="F78" i="32"/>
  <c r="L78" i="32" s="1"/>
  <c r="M9" i="32"/>
  <c r="M5" i="32"/>
  <c r="M3" i="32"/>
  <c r="Q11" i="32" l="1"/>
  <c r="P13" i="32"/>
  <c r="P17" i="32"/>
  <c r="P15" i="32"/>
  <c r="F86" i="32"/>
  <c r="M55" i="32"/>
  <c r="P33" i="32"/>
  <c r="I32" i="32"/>
  <c r="L32" i="32" s="1"/>
  <c r="I3" i="32"/>
  <c r="I4" i="32"/>
  <c r="L4" i="32" s="1"/>
  <c r="I5" i="32"/>
  <c r="I6" i="32"/>
  <c r="L6" i="32" s="1"/>
  <c r="I7" i="32"/>
  <c r="I8" i="32"/>
  <c r="L8" i="32" s="1"/>
  <c r="I9" i="32"/>
  <c r="I33" i="32"/>
  <c r="I34" i="32"/>
  <c r="L34" i="32" s="1"/>
  <c r="I35" i="32"/>
  <c r="I36" i="32"/>
  <c r="L36" i="32" s="1"/>
  <c r="I37" i="32"/>
  <c r="I38" i="32"/>
  <c r="L38" i="32" s="1"/>
  <c r="I39" i="32"/>
  <c r="I2" i="32"/>
  <c r="L2" i="32" s="1"/>
  <c r="P39" i="32"/>
  <c r="O39" i="32"/>
  <c r="Q39" i="32" s="1"/>
  <c r="P37" i="32"/>
  <c r="O37" i="32"/>
  <c r="Q37" i="32" s="1"/>
  <c r="P35" i="32"/>
  <c r="O35" i="32"/>
  <c r="Q35" i="32" s="1"/>
  <c r="K32" i="32"/>
  <c r="O33" i="32"/>
  <c r="Q33" i="32" s="1"/>
  <c r="C86" i="32"/>
  <c r="O9" i="32"/>
  <c r="O7" i="32"/>
  <c r="O5" i="32"/>
  <c r="O3" i="32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03" i="13" l="1"/>
  <c r="G102" i="13"/>
  <c r="D147" i="20"/>
  <c r="G79" i="32" l="1"/>
  <c r="H79" i="32" s="1"/>
  <c r="K38" i="32"/>
  <c r="K7" i="32"/>
  <c r="K9" i="32"/>
  <c r="K8" i="32"/>
  <c r="V2" i="33"/>
  <c r="F21" i="33"/>
  <c r="F14" i="33"/>
  <c r="H80" i="32"/>
  <c r="H81" i="32"/>
  <c r="M81" i="32" s="1"/>
  <c r="H82" i="32"/>
  <c r="M82" i="32" s="1"/>
  <c r="H83" i="32"/>
  <c r="M83" i="32" s="1"/>
  <c r="H84" i="32"/>
  <c r="H78" i="32"/>
  <c r="M80" i="32" l="1"/>
  <c r="I80" i="32"/>
  <c r="K80" i="32" s="1"/>
  <c r="M78" i="32"/>
  <c r="I78" i="32"/>
  <c r="K78" i="32" s="1"/>
  <c r="K86" i="32" s="1"/>
  <c r="M79" i="32"/>
  <c r="J79" i="32"/>
  <c r="L79" i="32" s="1"/>
  <c r="L86" i="32" s="1"/>
  <c r="C69" i="32"/>
  <c r="P5" i="32"/>
  <c r="Q5" i="32"/>
  <c r="O5" i="33"/>
  <c r="F29" i="33"/>
  <c r="F28" i="33"/>
  <c r="F27" i="33"/>
  <c r="F26" i="33"/>
  <c r="F2" i="33"/>
  <c r="F25" i="33"/>
  <c r="F24" i="33"/>
  <c r="F23" i="33"/>
  <c r="F22" i="33"/>
  <c r="F20" i="33"/>
  <c r="F19" i="33"/>
  <c r="F18" i="33"/>
  <c r="F17" i="33"/>
  <c r="F15" i="33"/>
  <c r="F13" i="33"/>
  <c r="F12" i="33"/>
  <c r="F11" i="33"/>
  <c r="F10" i="33"/>
  <c r="F9" i="33"/>
  <c r="F8" i="33"/>
  <c r="F7" i="33"/>
  <c r="F6" i="33"/>
  <c r="F5" i="33"/>
  <c r="F4" i="33"/>
  <c r="F16" i="33"/>
  <c r="F3" i="33"/>
  <c r="M86" i="32" l="1"/>
  <c r="C71" i="32" s="1"/>
  <c r="O44" i="33"/>
  <c r="O28" i="33"/>
  <c r="O20" i="33"/>
  <c r="O12" i="33"/>
  <c r="O3" i="33"/>
  <c r="O43" i="33"/>
  <c r="O35" i="33"/>
  <c r="O27" i="33"/>
  <c r="O19" i="33"/>
  <c r="O11" i="33"/>
  <c r="O2" i="33"/>
  <c r="Q2" i="33" s="1"/>
  <c r="O42" i="33"/>
  <c r="O34" i="33"/>
  <c r="O26" i="33"/>
  <c r="O18" i="33"/>
  <c r="O10" i="33"/>
  <c r="O49" i="33"/>
  <c r="O41" i="33"/>
  <c r="O33" i="33"/>
  <c r="O25" i="33"/>
  <c r="O17" i="33"/>
  <c r="O9" i="33"/>
  <c r="O48" i="33"/>
  <c r="O40" i="33"/>
  <c r="O32" i="33"/>
  <c r="O24" i="33"/>
  <c r="O16" i="33"/>
  <c r="O8" i="33"/>
  <c r="O7" i="33"/>
  <c r="O36" i="33"/>
  <c r="O47" i="33"/>
  <c r="O39" i="33"/>
  <c r="O31" i="33"/>
  <c r="O23" i="33"/>
  <c r="O15" i="33"/>
  <c r="O4" i="33"/>
  <c r="O46" i="33"/>
  <c r="O38" i="33"/>
  <c r="O30" i="33"/>
  <c r="O22" i="33"/>
  <c r="O14" i="33"/>
  <c r="O6" i="33"/>
  <c r="O45" i="33"/>
  <c r="O37" i="33"/>
  <c r="O29" i="33"/>
  <c r="O21" i="33"/>
  <c r="O13" i="33"/>
  <c r="P1" i="33"/>
  <c r="K2" i="32"/>
  <c r="K3" i="32"/>
  <c r="K4" i="32"/>
  <c r="K35" i="32"/>
  <c r="K6" i="32"/>
  <c r="P2" i="33" l="1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Q3" i="33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N21" i="18"/>
  <c r="N11" i="18"/>
  <c r="V14" i="18"/>
  <c r="O11" i="18"/>
  <c r="N10" i="18"/>
  <c r="C16" i="18"/>
  <c r="L23" i="18" l="1"/>
  <c r="P3" i="32"/>
  <c r="Q3" i="32"/>
  <c r="P7" i="32"/>
  <c r="Q7" i="32"/>
  <c r="P9" i="32"/>
  <c r="Q9" i="32"/>
  <c r="F188" i="15"/>
  <c r="F189" i="15"/>
  <c r="F190" i="15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P55" i="32" l="1"/>
  <c r="F186" i="15"/>
  <c r="Q55" i="32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0" i="16"/>
  <c r="G61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F61" i="16"/>
  <c r="F62" i="16"/>
  <c r="F63" i="16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N28" i="18" s="1"/>
  <c r="L26" i="18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I6" i="31"/>
  <c r="H6" i="31"/>
  <c r="G6" i="31"/>
  <c r="D6" i="3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G30" i="31" s="1"/>
  <c r="I2" i="31"/>
  <c r="I25" i="31" s="1"/>
  <c r="D24" i="31"/>
  <c r="B24" i="31"/>
  <c r="G44" i="10"/>
  <c r="D143" i="20"/>
  <c r="B127" i="13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8" i="20"/>
  <c r="K149" i="20"/>
  <c r="K150" i="20"/>
  <c r="K151" i="20"/>
  <c r="K152" i="20"/>
  <c r="K153" i="20"/>
  <c r="K154" i="20"/>
  <c r="K155" i="20"/>
  <c r="J148" i="20"/>
  <c r="J149" i="20"/>
  <c r="J150" i="20"/>
  <c r="J151" i="20"/>
  <c r="J152" i="20"/>
  <c r="J153" i="20"/>
  <c r="J154" i="20"/>
  <c r="J155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J147" i="20" s="1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7" i="20" l="1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K75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B20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7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7" i="18" l="1"/>
  <c r="E33" i="13"/>
  <c r="G34" i="13"/>
  <c r="I97" i="20"/>
  <c r="K97" i="20"/>
  <c r="J97" i="20"/>
  <c r="F108" i="15"/>
  <c r="C20" i="18"/>
  <c r="E19" i="14"/>
  <c r="G20" i="14"/>
  <c r="G21" i="14"/>
  <c r="F14" i="18" l="1"/>
  <c r="L28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<sst xmlns="http://schemas.openxmlformats.org/spreadsheetml/2006/main" count="2519" uniqueCount="1080">
  <si>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</si>
  <si>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</si>
  <si>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</si>
  <si>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</si>
  <si>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</si>
  <si>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</si>
  <si>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</si>
  <si>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</si>
  <si>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</si>
  <si>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</si>
  <si>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</si>
  <si>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</si>
  <si>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</si>
  <si>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</si>
  <si>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</si>
  <si>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</si>
  <si>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</si>
  <si>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</si>
  <si>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</si>
  <si>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</si>
  <si>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</si>
  <si>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</si>
  <si>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</si>
  <si>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</si>
  <si>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</si>
  <si>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</si>
  <si>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</si>
  <si>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</si>
  <si>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</si>
  <si>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</si>
  <si>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</si>
  <si>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</si>
  <si>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</si>
  <si>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</si>
  <si>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</si>
  <si>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</si>
  <si>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</si>
  <si>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</si>
  <si>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</si>
  <si>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</si>
  <si>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</si>
  <si>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</si>
  <si>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</si>
  <si>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</si>
  <si>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</si>
  <si>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</si>
  <si>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</si>
  <si>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</si>
  <si>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</si>
  <si>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</si>
  <si>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</si>
  <si>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</si>
  <si>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</si>
  <si>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</si>
  <si>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</si>
  <si>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</si>
  <si>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</si>
  <si>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</si>
  <si>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</si>
  <si>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</si>
  <si>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</si>
  <si>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</si>
  <si>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</si>
  <si>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</si>
  <si>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</si>
  <si>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</si>
  <si>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</si>
  <si>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</si>
  <si>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</si>
  <si>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</si>
  <si>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</si>
  <si>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</si>
  <si>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</si>
  <si>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</si>
  <si>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</si>
  <si>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</si>
  <si>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</si>
  <si>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</si>
  <si>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</si>
  <si>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</si>
  <si>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</si>
  <si>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</si>
  <si>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</si>
  <si>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</si>
  <si>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</si>
  <si>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</si>
  <si>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</si>
  <si>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</si>
  <si>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</si>
  <si>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</si>
  <si>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</si>
  <si>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</si>
  <si>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</si>
  <si>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</si>
  <si>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</si>
  <si>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</si>
  <si>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</si>
  <si>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</si>
  <si>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</si>
  <si>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</si>
  <si>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</si>
  <si>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</si>
  <si>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</si>
  <si>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</si>
  <si>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</si>
  <si>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</si>
  <si>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</si>
  <si>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</si>
  <si>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</si>
  <si>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</si>
  <si>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</si>
  <si>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</si>
  <si>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</si>
  <si>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</si>
  <si>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</si>
  <si>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</si>
  <si>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</si>
  <si>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</si>
  <si>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</si>
  <si>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</si>
  <si>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</si>
  <si>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</si>
  <si>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</si>
  <si>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</si>
  <si>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</si>
  <si>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</si>
  <si>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</si>
  <si>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</si>
  <si>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</si>
  <si>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</si>
  <si>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</si>
  <si>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</si>
  <si>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</si>
  <si>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</si>
  <si>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</si>
  <si>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</si>
  <si>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</si>
  <si>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</si>
  <si>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</si>
  <si>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</si>
  <si>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</si>
  <si>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</si>
  <si>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</si>
  <si>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</si>
  <si>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</si>
  <si>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</si>
  <si>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</si>
  <si>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</si>
  <si>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</si>
  <si>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</si>
  <si>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</si>
  <si>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</si>
  <si>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</si>
  <si>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</si>
  <si>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</si>
  <si>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</si>
  <si>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</si>
  <si>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</si>
  <si>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</si>
  <si>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</si>
  <si>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</si>
  <si>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</si>
  <si>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</si>
  <si>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</si>
  <si>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</si>
  <si>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</si>
  <si>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</si>
  <si>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</si>
  <si>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</si>
  <si>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</si>
  <si>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</si>
  <si>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</si>
  <si>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</si>
  <si>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</si>
  <si>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</si>
  <si>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</si>
  <si>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</si>
  <si>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</si>
  <si>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</si>
  <si>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</si>
  <si>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</si>
  <si>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</si>
  <si>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</si>
  <si>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</si>
  <si>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</si>
  <si>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</si>
  <si>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</si>
  <si>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</si>
  <si>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</si>
  <si>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</si>
  <si>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</si>
  <si>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</si>
  <si>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</si>
  <si>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</si>
  <si>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</si>
  <si>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</si>
  <si>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</si>
  <si>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</si>
  <si>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</si>
  <si>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</si>
  <si>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</si>
  <si>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</si>
  <si>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</si>
  <si>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</si>
  <si>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</si>
  <si>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</si>
  <si>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</si>
  <si>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</si>
  <si>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</si>
  <si>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</si>
  <si>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</si>
  <si>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</si>
  <si>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</si>
  <si>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</si>
  <si>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</si>
  <si>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</si>
  <si>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</si>
  <si>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</si>
  <si>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</si>
  <si>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</si>
  <si>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</si>
  <si>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</si>
  <si>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</si>
  <si>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</si>
  <si>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</si>
  <si>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</si>
  <si>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</si>
  <si>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</si>
  <si>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</si>
  <si>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</si>
  <si>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</si>
  <si>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</si>
  <si>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</si>
  <si>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</si>
  <si>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</si>
  <si>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</si>
  <si>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</si>
  <si>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</si>
  <si>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</si>
  <si>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</si>
  <si>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</si>
  <si>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</si>
  <si>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</si>
  <si>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</si>
  <si>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</si>
  <si>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</si>
  <si>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</si>
  <si>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</si>
  <si>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</si>
  <si>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</si>
  <si>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</si>
  <si>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</si>
  <si>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</si>
  <si>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</si>
  <si>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</si>
  <si>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</si>
  <si>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</si>
  <si>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</si>
  <si>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</si>
  <si>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</si>
  <si>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</si>
  <si>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</si>
  <si>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</si>
  <si>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</si>
  <si>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</si>
  <si>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</si>
  <si>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</si>
  <si>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</si>
  <si>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</si>
  <si>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</si>
  <si>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</si>
  <si>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</si>
  <si>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</si>
  <si>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</si>
  <si>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</si>
  <si>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</si>
  <si>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</si>
  <si>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</si>
  <si>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</si>
  <si>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</si>
  <si>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</si>
  <si>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</si>
  <si>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</si>
  <si>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</si>
  <si>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</si>
  <si>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</si>
  <si>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</si>
  <si>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</si>
  <si>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</si>
  <si>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</si>
  <si>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</si>
  <si>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</si>
  <si>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</si>
  <si>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</si>
  <si>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</si>
  <si>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</si>
  <si>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</si>
  <si>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</si>
  <si>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</si>
  <si>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</si>
  <si>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</si>
  <si>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</si>
  <si>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</si>
  <si>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</si>
  <si>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</si>
  <si>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</si>
  <si>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</si>
  <si>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</si>
  <si>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</si>
  <si>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</si>
  <si>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</si>
  <si>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</si>
  <si>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</si>
  <si>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</si>
  <si>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</si>
  <si>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</si>
  <si>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</si>
  <si>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</si>
  <si>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</si>
  <si>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</si>
  <si>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</si>
  <si>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</si>
  <si>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</si>
  <si>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</si>
  <si>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</si>
  <si>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</si>
  <si>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</si>
  <si>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</si>
  <si>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</si>
  <si>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</si>
  <si>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</si>
  <si>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</si>
  <si>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</si>
  <si>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</si>
  <si>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</si>
  <si>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</si>
  <si>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</si>
  <si>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</si>
  <si>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</si>
  <si>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</si>
  <si>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</si>
  <si>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</si>
  <si>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</si>
  <si>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</si>
  <si>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</si>
  <si>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</si>
  <si>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</si>
  <si>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</si>
  <si>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</si>
  <si>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</si>
  <si>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</si>
  <si>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</si>
  <si>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</si>
  <si>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</si>
  <si>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</si>
  <si>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</si>
  <si>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</si>
  <si>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</si>
  <si>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</si>
  <si>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</si>
  <si>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</si>
  <si>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</si>
  <si>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</si>
  <si>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</si>
  <si>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</si>
  <si>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</si>
  <si>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</si>
  <si>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</si>
  <si>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</si>
  <si>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</si>
  <si>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</si>
  <si>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</si>
  <si>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</si>
  <si>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</si>
  <si>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</si>
  <si>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</si>
  <si>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</si>
  <si>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</si>
  <si>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</si>
  <si>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</si>
  <si>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</si>
  <si>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</si>
  <si>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</si>
  <si>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</si>
  <si>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</si>
  <si>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</si>
  <si>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</si>
  <si>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</si>
  <si>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</si>
  <si>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</si>
  <si>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</si>
  <si>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</si>
  <si>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</si>
  <si>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</si>
  <si>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</si>
  <si>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</si>
  <si>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</si>
  <si>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</si>
  <si>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</si>
  <si>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</si>
  <si>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</si>
  <si>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</si>
  <si>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</si>
  <si>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</si>
  <si>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</si>
  <si>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</si>
  <si>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</si>
  <si>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</si>
  <si>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</si>
  <si>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</si>
  <si>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</si>
  <si>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</si>
  <si>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</si>
  <si>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</si>
  <si>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</si>
  <si>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</si>
  <si>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</si>
  <si>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</si>
  <si>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</si>
  <si>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</si>
  <si>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</si>
  <si>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</si>
  <si>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</si>
  <si>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</si>
  <si>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</si>
  <si>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</si>
  <si>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</si>
  <si>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</si>
  <si>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</si>
  <si>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</si>
  <si>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</si>
  <si>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</si>
  <si>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</si>
  <si>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</si>
  <si>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</si>
  <si>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</si>
  <si>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</si>
  <si>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</si>
  <si>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</si>
  <si>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</si>
  <si>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</si>
  <si>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</si>
  <si>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</si>
  <si>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</si>
  <si>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</si>
  <si>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</si>
  <si>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</si>
  <si>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</si>
  <si>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</si>
  <si>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</si>
  <si>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</si>
  <si>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</si>
  <si>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</si>
  <si>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</si>
  <si>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</si>
  <si>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</si>
  <si>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</si>
  <si>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</si>
  <si>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</si>
  <si>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</si>
  <si>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</si>
  <si>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</si>
  <si>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</si>
  <si>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</si>
  <si>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</si>
  <si>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</si>
  <si>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</si>
  <si>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</si>
  <si>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</si>
  <si>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</si>
  <si>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</si>
  <si>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</si>
  <si>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</si>
  <si>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</si>
  <si>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</si>
  <si>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</si>
  <si>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</si>
  <si>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</si>
  <si>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</si>
  <si>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</si>
  <si>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</si>
  <si>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</si>
  <si>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</si>
  <si>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</si>
  <si>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</si>
  <si>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</si>
  <si>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</si>
  <si>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</si>
  <si>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</si>
  <si>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</si>
  <si>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</si>
  <si>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</si>
  <si>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</si>
  <si>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</si>
  <si>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</si>
  <si>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</si>
  <si>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</si>
  <si>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</si>
  <si>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</si>
  <si>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</si>
  <si>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</si>
  <si>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</si>
  <si>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</si>
  <si>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</si>
  <si>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</si>
  <si>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</si>
  <si>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</si>
  <si>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</si>
  <si>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</si>
  <si>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</si>
  <si>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</si>
  <si>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</si>
  <si>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</si>
  <si>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</si>
  <si>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</si>
  <si>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</si>
  <si>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</si>
  <si>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</si>
  <si>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</si>
  <si>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</si>
  <si>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</si>
  <si>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</si>
  <si>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</si>
  <si>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</si>
  <si>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</si>
  <si>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</si>
  <si>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</si>
  <si>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</si>
  <si>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</si>
  <si>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</si>
  <si>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</si>
  <si>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</si>
  <si>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</si>
  <si>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</si>
  <si>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</si>
  <si>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</si>
  <si>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</si>
  <si>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</si>
  <si>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</si>
  <si>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</si>
  <si>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</si>
  <si>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</si>
  <si>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</si>
  <si>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</si>
  <si>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</si>
  <si>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</si>
  <si>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</si>
  <si>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</si>
  <si>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</si>
  <si>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</si>
  <si>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</si>
  <si>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</si>
  <si>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</si>
  <si>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</si>
  <si>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</si>
  <si>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</si>
  <si>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</si>
  <si>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</si>
  <si>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</si>
  <si>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</si>
  <si>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</si>
  <si>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</si>
  <si>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</si>
  <si>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</si>
  <si>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</si>
  <si>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</si>
  <si>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</si>
  <si>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</si>
  <si>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</si>
  <si>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</si>
  <si>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</si>
  <si>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</si>
  <si>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</si>
  <si>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</si>
  <si>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</si>
  <si>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</si>
  <si>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</si>
  <si>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</si>
  <si>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</si>
  <si>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</si>
  <si>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</si>
  <si>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</si>
  <si>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</si>
  <si>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</si>
  <si>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</si>
  <si>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</si>
  <si>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</si>
  <si>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</si>
  <si>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</si>
  <si>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</si>
  <si>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</si>
  <si>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</si>
  <si>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</si>
  <si>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</si>
  <si>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</si>
  <si>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</si>
  <si>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</si>
  <si>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</si>
  <si>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</si>
  <si>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</si>
  <si>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</si>
  <si>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</si>
  <si>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</si>
  <si>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</si>
  <si>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</si>
  <si>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</si>
  <si>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</si>
  <si>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</si>
  <si>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</si>
  <si>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</si>
  <si>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</si>
  <si>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</si>
  <si>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</si>
  <si>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</si>
  <si>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</si>
  <si>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</si>
  <si>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</si>
  <si>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</si>
  <si>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</si>
  <si>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</si>
  <si>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</si>
  <si>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</si>
  <si>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</si>
  <si>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</si>
  <si>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</si>
  <si>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</si>
  <si>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</si>
  <si>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</si>
  <si>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</si>
  <si>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</si>
  <si>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</si>
  <si>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</si>
  <si>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</si>
  <si>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</si>
  <si>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</si>
  <si>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</si>
  <si>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</si>
  <si>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</si>
  <si>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</si>
  <si>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</si>
  <si>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</si>
  <si>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</si>
  <si>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</si>
  <si>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</si>
  <si>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</si>
  <si>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</si>
  <si>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</si>
  <si>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</si>
  <si>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</si>
  <si>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</si>
  <si>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</si>
  <si>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</si>
  <si>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</si>
  <si>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</si>
  <si>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</si>
  <si>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</si>
  <si>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</si>
  <si>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</si>
  <si>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</si>
  <si>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</si>
  <si>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</si>
  <si>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</si>
  <si>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</si>
  <si>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</si>
  <si>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</si>
  <si>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</si>
  <si>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</si>
  <si>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</si>
  <si>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</si>
  <si>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</si>
  <si>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</si>
  <si>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</si>
  <si>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</si>
  <si>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</si>
  <si>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</si>
  <si>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</si>
  <si>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</si>
  <si>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</si>
  <si>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</si>
  <si>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</si>
  <si>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</si>
  <si>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</si>
  <si>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</si>
  <si>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</si>
  <si>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</si>
  <si>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</si>
  <si>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</si>
  <si>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</si>
  <si>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</si>
  <si>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</si>
  <si>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</si>
  <si>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</si>
  <si>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</si>
  <si>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</si>
  <si>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</si>
  <si>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</si>
  <si>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</si>
  <si>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</si>
  <si>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</si>
  <si>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</si>
  <si>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</si>
  <si>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</si>
  <si>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</si>
  <si>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</si>
  <si>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</si>
  <si>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</si>
  <si>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</si>
  <si>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</si>
  <si>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</si>
  <si>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</si>
  <si>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</si>
  <si>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</si>
  <si>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</si>
  <si>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</si>
  <si>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</si>
  <si>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</si>
  <si>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</si>
  <si>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</si>
  <si>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</si>
  <si>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</si>
  <si>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</si>
  <si>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</si>
  <si>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</si>
  <si>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</si>
  <si>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</si>
  <si>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</si>
  <si>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</si>
  <si>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</si>
  <si>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</si>
  <si>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</si>
  <si>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</si>
  <si>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</si>
  <si>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</si>
  <si>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</si>
  <si>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</si>
  <si>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</si>
  <si>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</si>
  <si>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</si>
  <si>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</si>
  <si>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</si>
  <si>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</si>
  <si>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</si>
  <si>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</si>
  <si>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</si>
  <si>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</si>
  <si>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</si>
  <si>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</si>
  <si>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</si>
  <si>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</si>
  <si>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</si>
  <si>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</si>
  <si>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</si>
  <si>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</si>
  <si>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</si>
  <si>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</si>
  <si>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</si>
  <si>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</si>
  <si>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</si>
  <si>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</si>
  <si>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</si>
  <si>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</si>
  <si>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</si>
  <si>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</si>
  <si>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</si>
  <si>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</si>
  <si>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</si>
  <si>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</si>
  <si>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</si>
  <si>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</si>
  <si>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</si>
  <si>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</si>
  <si>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</si>
  <si>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</si>
  <si>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</si>
  <si>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</si>
  <si>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</si>
  <si>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</si>
  <si>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</si>
  <si>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</si>
  <si>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</si>
  <si>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</si>
  <si>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</si>
  <si>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</si>
  <si>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</si>
  <si>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</si>
  <si>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</si>
  <si>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</si>
  <si>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</si>
  <si>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</si>
  <si>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</si>
  <si>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</si>
  <si>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</si>
  <si>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</si>
  <si>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</si>
  <si>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</si>
  <si>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</si>
  <si>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</si>
  <si>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</si>
  <si>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</si>
  <si>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</si>
  <si>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</si>
  <si>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</si>
  <si>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</si>
  <si>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</si>
  <si>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</si>
  <si>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</si>
  <si>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</si>
  <si>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</si>
  <si>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</si>
  <si>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</si>
  <si>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</si>
  <si>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</si>
  <si>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</si>
  <si>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</si>
  <si>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</si>
  <si>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</si>
  <si>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</si>
  <si>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</si>
  <si>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</si>
  <si>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</si>
  <si>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</si>
  <si>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</si>
  <si>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</si>
  <si>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</si>
  <si>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</si>
  <si>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</si>
  <si>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</si>
  <si>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</si>
  <si>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</si>
  <si>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</si>
  <si>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</si>
  <si>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</si>
  <si>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</si>
  <si>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</si>
  <si>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</si>
  <si>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</si>
  <si>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</si>
  <si>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</si>
  <si>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</si>
  <si>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</si>
  <si>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</si>
  <si>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</si>
  <si>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</si>
  <si>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</si>
  <si>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</si>
  <si>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</si>
  <si>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</si>
  <si>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</si>
  <si>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</si>
  <si>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</si>
  <si>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</si>
  <si>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</si>
  <si>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</si>
  <si>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</si>
  <si>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</si>
  <si>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</si>
  <si>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</si>
  <si>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</si>
  <si>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</si>
  <si>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</si>
  <si>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</si>
  <si>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</si>
  <si>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</si>
  <si>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</si>
  <si>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</si>
  <si>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</si>
  <si>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</si>
  <si>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</si>
  <si>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</si>
  <si>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</si>
  <si>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</si>
  <si>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</si>
  <si>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</si>
  <si>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</si>
  <si>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</si>
  <si>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</si>
  <si>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</si>
  <si>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</si>
  <si>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</si>
  <si>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</si>
  <si>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</si>
  <si>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</si>
  <si>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</si>
  <si>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</si>
  <si>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</si>
  <si>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</si>
  <si>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</si>
  <si>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</si>
  <si>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</si>
  <si>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</si>
  <si>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</si>
  <si>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</si>
  <si>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</si>
  <si>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</si>
  <si>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</si>
  <si>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</si>
  <si>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</si>
  <si>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</si>
  <si>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</si>
  <si>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</si>
  <si>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</si>
  <si>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</si>
  <si>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</si>
  <si>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</si>
  <si>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</si>
  <si>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</si>
  <si>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</si>
  <si>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</si>
  <si>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</si>
  <si>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</si>
  <si>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</si>
  <si>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</si>
  <si>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</si>
  <si>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</si>
  <si>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</si>
  <si>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</si>
  <si>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</si>
  <si>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</si>
  <si>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</si>
  <si>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</si>
  <si>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</si>
  <si>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</si>
  <si>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</si>
  <si>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</si>
  <si>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</si>
  <si>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</si>
  <si>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</si>
  <si>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</si>
  <si>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</si>
  <si>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</si>
  <si>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</si>
  <si>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</si>
  <si>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</si>
  <si>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</si>
  <si>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</si>
  <si>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</si>
  <si>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</si>
  <si>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</si>
  <si>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</si>
  <si>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</si>
  <si>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</si>
  <si>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</si>
  <si>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</si>
  <si>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</si>
  <si>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</si>
  <si>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</si>
  <si>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</si>
  <si>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</si>
  <si>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</si>
  <si>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</si>
  <si>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</si>
  <si>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</si>
  <si>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</si>
  <si>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</si>
  <si>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</si>
  <si>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</si>
  <si>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</si>
  <si>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</si>
  <si>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</si>
  <si>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</si>
  <si>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</si>
  <si>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ردیف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</si>
  <si>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</si>
  <si>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</si>
  <si>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</si>
  <si>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</si>
  <si>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</si>
  <si>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</si>
  <si>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</si>
  <si>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</si>
  <si>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</si>
  <si>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</si>
  <si>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</si>
  <si>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</si>
  <si>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</si>
  <si>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</si>
  <si>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مبلغ 463673 تومن سود روزهای گذشته را هم دادم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</si>
  <si>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</si>
  <si>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</si>
  <si>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</si>
  <si>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</si>
  <si>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</si>
  <si>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</si>
  <si>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</si>
  <si>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</si>
  <si>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مبلغ 463673 تومن سود روزهای گذشته را گرفتم</t>
  </si>
  <si>
    <t>قیمت عرضه فعلی</t>
  </si>
  <si>
    <t>دارایی</t>
  </si>
  <si>
    <t>نقد در حساب کارگزاری</t>
  </si>
  <si>
    <t>اشاد 5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</si>
  <si>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</si>
  <si>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</si>
  <si>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</si>
  <si>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</si>
  <si>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</si>
  <si>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</si>
  <si>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</si>
  <si>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</si>
  <si>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</si>
  <si>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</si>
  <si>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</si>
  <si>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</si>
  <si>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</si>
  <si>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</si>
  <si>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</si>
  <si>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افاد2</t>
  </si>
  <si>
    <t>نرخ سود</t>
  </si>
  <si>
    <t xml:space="preserve">بازه پرداخت سود </t>
  </si>
  <si>
    <t>ارزش خرید</t>
  </si>
  <si>
    <t>26/6/1400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</si>
  <si>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</si>
  <si>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</si>
  <si>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</si>
  <si>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</si>
  <si>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</si>
  <si>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</si>
  <si>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</si>
  <si>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</si>
  <si>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</si>
  <si>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</si>
  <si>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</si>
  <si>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</si>
  <si>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</si>
  <si>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</si>
  <si>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</si>
  <si>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</si>
  <si>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</si>
  <si>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</si>
  <si>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</si>
  <si>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</si>
  <si>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</si>
  <si>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</si>
  <si>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</si>
  <si>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</si>
  <si>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</si>
  <si>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</si>
  <si>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</si>
  <si>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</si>
  <si>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</si>
  <si>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تضمین</t>
  </si>
  <si>
    <t>تامین اجتماعی</t>
  </si>
  <si>
    <t>11/9/1398</t>
  </si>
  <si>
    <t>13/9/1397</t>
  </si>
  <si>
    <t>14/11/1398</t>
  </si>
  <si>
    <t>16/10/1398</t>
  </si>
  <si>
    <t>ماه تا سررسید</t>
  </si>
  <si>
    <t>تاریخ مرجع</t>
  </si>
  <si>
    <t>25/12/1396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</si>
  <si>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</si>
  <si>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</si>
  <si>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</si>
  <si>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</si>
  <si>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</si>
  <si>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</si>
  <si>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</si>
  <si>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</si>
  <si>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سود اشاد6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</si>
  <si>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</si>
  <si>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</si>
  <si>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</si>
  <si>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</si>
  <si>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</si>
  <si>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</si>
  <si>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</si>
  <si>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</si>
  <si>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</si>
  <si>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</si>
  <si>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</si>
  <si>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</si>
  <si>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</si>
  <si>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</si>
  <si>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</si>
  <si>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</si>
  <si>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</si>
  <si>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</si>
  <si>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</si>
  <si>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</si>
  <si>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مبلغ 1664082 سود دادم</t>
  </si>
  <si>
    <t>مبلغ 968084 سود دادم</t>
  </si>
  <si>
    <t>سود علاوه بر سود بانکی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</si>
</sst>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18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2" borderId="1" xfId="0" applyNumberForma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F6" sqref="F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1059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8157987</v>
      </c>
      <c r="C24" s="3">
        <f>SUM(C2:C22)</f>
        <v>7485814</v>
      </c>
      <c r="D24" s="3">
        <f>SUM(D2:D22)</f>
        <v>672173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f>G25*100000/365000000</f>
        <v>257229.89315068492</v>
      </c>
      <c r="H30" s="18">
        <f>G30*H25/G25</f>
        <v>66754.498630136979</v>
      </c>
      <c r="I30" s="18">
        <f>G30*I25/G25</f>
        <v>190475.39452054794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1057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6636922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B148" sqref="B1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7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5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1058</v>
      </c>
      <c r="F147" s="11">
        <v>1</v>
      </c>
      <c r="G147" s="36">
        <f t="shared" si="17"/>
        <v>1</v>
      </c>
      <c r="H147" s="11">
        <f t="shared" si="14"/>
        <v>0</v>
      </c>
      <c r="I147" s="11">
        <f t="shared" si="13"/>
        <v>-27000000</v>
      </c>
      <c r="J147" s="11">
        <f t="shared" si="15"/>
        <v>0</v>
      </c>
      <c r="K147" s="11">
        <f t="shared" si="16"/>
        <v>-27000000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8157627</v>
      </c>
      <c r="C156" s="29">
        <f>SUM(C2:C154)</f>
        <v>7485814</v>
      </c>
      <c r="D156" s="29">
        <f>SUM(D2:D154)</f>
        <v>671813</v>
      </c>
      <c r="E156" s="11"/>
      <c r="F156" s="11"/>
      <c r="G156" s="11"/>
      <c r="H156" s="11"/>
      <c r="I156" s="29">
        <f>SUM(I2:I155)</f>
        <v>15111327732</v>
      </c>
      <c r="J156" s="29">
        <f>SUM(J2:J155)</f>
        <v>5923534667</v>
      </c>
      <c r="K156" s="29">
        <f>SUM(K2:K155)</f>
        <v>9187793065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24255742.747993581</v>
      </c>
      <c r="J159" s="29">
        <f>J156/G2</f>
        <v>9508081.3274478335</v>
      </c>
      <c r="K159" s="29">
        <f>K156/G2</f>
        <v>14747661.420545746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567878.68876486039</v>
      </c>
      <c r="K163">
        <f>K156/I156*1448696</f>
        <v>880817.31123513961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6" activePane="bottomLeft" state="frozen"/>
      <selection pane="bottomLeft" activeCell="D104" sqref="D10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473</v>
      </c>
      <c r="F2" s="11">
        <f>IF(B2&gt;0,1,0)</f>
        <v>1</v>
      </c>
      <c r="G2" s="11">
        <f>B2*(E2-F2)</f>
        <v>23600000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469</v>
      </c>
      <c r="F3" s="11">
        <f t="shared" ref="F3:F38" si="1">IF(B3&gt;0,1,0)</f>
        <v>1</v>
      </c>
      <c r="G3" s="11">
        <f t="shared" ref="G3:G23" si="2">B3*(E3-F3)</f>
        <v>1404000000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468</v>
      </c>
      <c r="F4" s="11">
        <f t="shared" si="1"/>
        <v>1</v>
      </c>
      <c r="G4" s="11">
        <f t="shared" si="2"/>
        <v>1401000000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468</v>
      </c>
      <c r="F5" s="11">
        <f t="shared" si="1"/>
        <v>1</v>
      </c>
      <c r="G5" s="11">
        <f t="shared" si="2"/>
        <v>7005000000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467</v>
      </c>
      <c r="F6" s="11">
        <f t="shared" si="1"/>
        <v>1</v>
      </c>
      <c r="G6" s="11">
        <f t="shared" si="2"/>
        <v>1398000000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466</v>
      </c>
      <c r="F7" s="11">
        <f t="shared" si="1"/>
        <v>0</v>
      </c>
      <c r="G7" s="11">
        <f t="shared" si="2"/>
        <v>-1398000000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466</v>
      </c>
      <c r="F8" s="11">
        <f t="shared" si="1"/>
        <v>0</v>
      </c>
      <c r="G8" s="11">
        <f t="shared" si="2"/>
        <v>-93200000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466</v>
      </c>
      <c r="F9" s="11">
        <f t="shared" si="1"/>
        <v>1</v>
      </c>
      <c r="G9" s="11">
        <f>B9*(E9-F9)</f>
        <v>1395000000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465</v>
      </c>
      <c r="F10" s="11">
        <f t="shared" si="1"/>
        <v>1</v>
      </c>
      <c r="G10" s="11">
        <f t="shared" si="2"/>
        <v>1392000000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465</v>
      </c>
      <c r="F11" s="11">
        <f t="shared" si="1"/>
        <v>1</v>
      </c>
      <c r="G11" s="11">
        <f t="shared" si="2"/>
        <v>11600000000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462</v>
      </c>
      <c r="F12" s="11">
        <f t="shared" si="1"/>
        <v>1</v>
      </c>
      <c r="G12" s="11">
        <f t="shared" si="2"/>
        <v>460230130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462</v>
      </c>
      <c r="F13" s="11">
        <f t="shared" si="1"/>
        <v>1</v>
      </c>
      <c r="G13" s="11">
        <f t="shared" si="2"/>
        <v>1383000000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462</v>
      </c>
      <c r="F14" s="11">
        <f t="shared" si="1"/>
        <v>1</v>
      </c>
      <c r="G14" s="11">
        <f t="shared" si="2"/>
        <v>549095256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450</v>
      </c>
      <c r="F15" s="11">
        <f t="shared" si="1"/>
        <v>1</v>
      </c>
      <c r="G15" s="11">
        <f t="shared" si="2"/>
        <v>898000000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438</v>
      </c>
      <c r="F16" s="11">
        <f t="shared" si="1"/>
        <v>1</v>
      </c>
      <c r="G16" s="11">
        <f t="shared" si="2"/>
        <v>1311000000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437</v>
      </c>
      <c r="F17" s="11">
        <f t="shared" si="1"/>
        <v>1</v>
      </c>
      <c r="G17" s="11">
        <f t="shared" si="2"/>
        <v>1308000000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436</v>
      </c>
      <c r="F18" s="11">
        <f t="shared" si="1"/>
        <v>1</v>
      </c>
      <c r="G18" s="11">
        <f t="shared" si="2"/>
        <v>826500000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421</v>
      </c>
      <c r="F19" s="11">
        <f t="shared" si="1"/>
        <v>1</v>
      </c>
      <c r="G19" s="11">
        <f t="shared" si="2"/>
        <v>337895460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420</v>
      </c>
      <c r="F20" s="11">
        <f t="shared" si="1"/>
        <v>1</v>
      </c>
      <c r="G20" s="11">
        <f t="shared" si="2"/>
        <v>1257000000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414</v>
      </c>
      <c r="F21" s="11">
        <f t="shared" si="1"/>
        <v>1</v>
      </c>
      <c r="G21" s="11">
        <f t="shared" si="2"/>
        <v>206500000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400</v>
      </c>
      <c r="F22" s="11">
        <f t="shared" si="1"/>
        <v>0</v>
      </c>
      <c r="G22" s="11">
        <f t="shared" si="2"/>
        <v>-1200000000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392</v>
      </c>
      <c r="F23" s="11">
        <f t="shared" si="1"/>
        <v>1</v>
      </c>
      <c r="G23" s="11">
        <f t="shared" si="2"/>
        <v>1173000000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392</v>
      </c>
      <c r="F24" s="11">
        <f t="shared" si="1"/>
        <v>1</v>
      </c>
      <c r="G24" s="11">
        <f>B24*(E24-F24)</f>
        <v>246659613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390</v>
      </c>
      <c r="F25" s="11">
        <f t="shared" si="1"/>
        <v>0</v>
      </c>
      <c r="G25" s="11">
        <f t="shared" ref="G25:G30" si="3">B25*(E25-F25)</f>
        <v>-1248351000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388</v>
      </c>
      <c r="F26" s="11">
        <f t="shared" si="1"/>
        <v>0</v>
      </c>
      <c r="G26" s="11">
        <f t="shared" si="3"/>
        <v>-1164349200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386</v>
      </c>
      <c r="F27" s="11">
        <f t="shared" si="1"/>
        <v>1</v>
      </c>
      <c r="G27" s="11">
        <f t="shared" si="3"/>
        <v>385000000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386</v>
      </c>
      <c r="F28" s="11">
        <f t="shared" si="1"/>
        <v>1</v>
      </c>
      <c r="G28" s="11">
        <f t="shared" si="3"/>
        <v>2310000000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386</v>
      </c>
      <c r="F29" s="11">
        <f t="shared" si="1"/>
        <v>1</v>
      </c>
      <c r="G29" s="11">
        <f t="shared" si="3"/>
        <v>2233000000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386</v>
      </c>
      <c r="F30" s="11">
        <f t="shared" si="1"/>
        <v>0</v>
      </c>
      <c r="G30" s="11">
        <f t="shared" si="3"/>
        <v>-1930000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385</v>
      </c>
      <c r="F31" s="11">
        <f t="shared" si="1"/>
        <v>0</v>
      </c>
      <c r="G31" s="11">
        <f>B31*(E31-F31)</f>
        <v>-10010000000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383</v>
      </c>
      <c r="F32" s="11">
        <f t="shared" si="1"/>
        <v>0</v>
      </c>
      <c r="G32" s="11">
        <f>B32*(E32-F32)</f>
        <v>-10034600000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364</v>
      </c>
      <c r="F33" s="11">
        <f t="shared" si="1"/>
        <v>1</v>
      </c>
      <c r="G33" s="11">
        <f>B33*(E33-F33)</f>
        <v>118702815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346</v>
      </c>
      <c r="F34" s="11">
        <f t="shared" si="1"/>
        <v>1</v>
      </c>
      <c r="G34" s="11">
        <f t="shared" ref="G34:G126" si="4">B34*(E34-F34)</f>
        <v>9798000000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346</v>
      </c>
      <c r="F35" s="11">
        <f t="shared" si="1"/>
        <v>1</v>
      </c>
      <c r="G35" s="12">
        <f t="shared" si="4"/>
        <v>3795000000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331</v>
      </c>
      <c r="F36" s="11">
        <f t="shared" si="1"/>
        <v>1</v>
      </c>
      <c r="G36" s="11">
        <f t="shared" si="4"/>
        <v>138171330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331</v>
      </c>
      <c r="F37" s="11">
        <f t="shared" si="1"/>
        <v>0</v>
      </c>
      <c r="G37" s="11">
        <f t="shared" si="4"/>
        <v>-297900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330</v>
      </c>
      <c r="F38" s="11">
        <f t="shared" si="1"/>
        <v>1</v>
      </c>
      <c r="G38" s="12">
        <f t="shared" si="4"/>
        <v>658000000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330</v>
      </c>
      <c r="F39" s="11">
        <f>IF(B39&gt;0,1,0)</f>
        <v>1</v>
      </c>
      <c r="G39" s="11">
        <f t="shared" si="4"/>
        <v>658000000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316</v>
      </c>
      <c r="F40" s="11">
        <f>IF(B40&gt;0,1,0)</f>
        <v>0</v>
      </c>
      <c r="G40" s="11">
        <f t="shared" si="4"/>
        <v>-63200000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316</v>
      </c>
      <c r="F41" s="11">
        <f>IF(B41&gt;0,1,0)</f>
        <v>0</v>
      </c>
      <c r="G41" s="11">
        <f t="shared" si="4"/>
        <v>-195920000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316</v>
      </c>
      <c r="F42" s="11">
        <f t="shared" ref="F42:F126" si="5">IF(B42&gt;0,1,0)</f>
        <v>0</v>
      </c>
      <c r="G42" s="11">
        <f t="shared" si="4"/>
        <v>-37920000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314</v>
      </c>
      <c r="F43" s="11">
        <f t="shared" si="5"/>
        <v>1</v>
      </c>
      <c r="G43" s="11">
        <f t="shared" si="4"/>
        <v>203450000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314</v>
      </c>
      <c r="F44" s="11">
        <f t="shared" si="5"/>
        <v>0</v>
      </c>
      <c r="G44" s="11">
        <f t="shared" si="4"/>
        <v>-1570000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314</v>
      </c>
      <c r="F45" s="11">
        <f t="shared" si="5"/>
        <v>1</v>
      </c>
      <c r="G45" s="11">
        <f t="shared" si="4"/>
        <v>9077000000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310</v>
      </c>
      <c r="F46" s="11">
        <f t="shared" si="5"/>
        <v>0</v>
      </c>
      <c r="G46" s="11">
        <f t="shared" si="4"/>
        <v>-62000000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307</v>
      </c>
      <c r="F47" s="11">
        <f t="shared" si="5"/>
        <v>0</v>
      </c>
      <c r="G47" s="11">
        <f t="shared" si="4"/>
        <v>-61400000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306</v>
      </c>
      <c r="F48" s="11">
        <f t="shared" si="5"/>
        <v>0</v>
      </c>
      <c r="G48" s="11">
        <f t="shared" si="4"/>
        <v>-61200000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301</v>
      </c>
      <c r="F49" s="11">
        <f t="shared" si="5"/>
        <v>1</v>
      </c>
      <c r="G49" s="11">
        <f t="shared" si="4"/>
        <v>900000000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301</v>
      </c>
      <c r="F50" s="11">
        <f t="shared" si="5"/>
        <v>1</v>
      </c>
      <c r="G50" s="12">
        <f t="shared" si="4"/>
        <v>900000000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300</v>
      </c>
      <c r="F51" s="11">
        <f t="shared" si="5"/>
        <v>1</v>
      </c>
      <c r="G51" s="11">
        <f t="shared" si="4"/>
        <v>228973303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300</v>
      </c>
      <c r="F52" s="11">
        <f t="shared" si="5"/>
        <v>0</v>
      </c>
      <c r="G52" s="11">
        <f t="shared" si="4"/>
        <v>-60000000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293</v>
      </c>
      <c r="F53" s="11">
        <f t="shared" si="5"/>
        <v>0</v>
      </c>
      <c r="G53" s="11">
        <f t="shared" si="4"/>
        <v>-117346500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284</v>
      </c>
      <c r="F54" s="11">
        <f t="shared" si="5"/>
        <v>0</v>
      </c>
      <c r="G54" s="11">
        <f t="shared" si="4"/>
        <v>-284112464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278</v>
      </c>
      <c r="F55" s="11">
        <f t="shared" si="5"/>
        <v>0</v>
      </c>
      <c r="G55" s="11">
        <f t="shared" si="4"/>
        <v>-11120000000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269</v>
      </c>
      <c r="F56" s="11">
        <f t="shared" si="5"/>
        <v>1</v>
      </c>
      <c r="G56" s="11">
        <f t="shared" si="4"/>
        <v>231994736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242</v>
      </c>
      <c r="F57" s="11">
        <f t="shared" si="5"/>
        <v>0</v>
      </c>
      <c r="G57" s="11">
        <f t="shared" si="4"/>
        <v>-12148400000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241</v>
      </c>
      <c r="F58" s="11">
        <f t="shared" si="5"/>
        <v>0</v>
      </c>
      <c r="G58" s="11">
        <f t="shared" si="4"/>
        <v>-2940320500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238</v>
      </c>
      <c r="F59" s="11">
        <f t="shared" si="5"/>
        <v>1</v>
      </c>
      <c r="G59" s="11">
        <f t="shared" si="4"/>
        <v>126772722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237</v>
      </c>
      <c r="F60" s="11">
        <f t="shared" si="5"/>
        <v>0</v>
      </c>
      <c r="G60" s="11">
        <f t="shared" si="4"/>
        <v>-80106000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235</v>
      </c>
      <c r="F61" s="11">
        <f t="shared" si="5"/>
        <v>0</v>
      </c>
      <c r="G61" s="11">
        <f t="shared" si="4"/>
        <v>-35250000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231</v>
      </c>
      <c r="F62" s="11">
        <f t="shared" si="5"/>
        <v>0</v>
      </c>
      <c r="G62" s="11">
        <f t="shared" si="4"/>
        <v>-23100000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227</v>
      </c>
      <c r="F63" s="11">
        <f t="shared" si="5"/>
        <v>0</v>
      </c>
      <c r="G63" s="11">
        <f t="shared" si="4"/>
        <v>-45400000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227</v>
      </c>
      <c r="F64" s="11">
        <f t="shared" si="5"/>
        <v>0</v>
      </c>
      <c r="G64" s="11">
        <f t="shared" si="4"/>
        <v>-19749000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223</v>
      </c>
      <c r="F65" s="11">
        <f t="shared" si="5"/>
        <v>0</v>
      </c>
      <c r="G65" s="11">
        <f t="shared" si="4"/>
        <v>-6125810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222</v>
      </c>
      <c r="F66" s="11">
        <f t="shared" si="5"/>
        <v>0</v>
      </c>
      <c r="G66" s="11">
        <f t="shared" si="4"/>
        <v>-74148000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217</v>
      </c>
      <c r="F67" s="11">
        <f t="shared" si="5"/>
        <v>0</v>
      </c>
      <c r="G67" s="11">
        <f t="shared" si="4"/>
        <v>-4340000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216</v>
      </c>
      <c r="F68" s="11">
        <f t="shared" si="5"/>
        <v>0</v>
      </c>
      <c r="G68" s="11">
        <f t="shared" si="4"/>
        <v>-64908000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216</v>
      </c>
      <c r="F69" s="11">
        <f t="shared" si="5"/>
        <v>0</v>
      </c>
      <c r="G69" s="11">
        <f t="shared" si="4"/>
        <v>-21600000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211</v>
      </c>
      <c r="F70" s="11">
        <f t="shared" si="5"/>
        <v>0</v>
      </c>
      <c r="G70" s="11">
        <f t="shared" si="4"/>
        <v>-42200000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207</v>
      </c>
      <c r="F71" s="11">
        <f t="shared" si="5"/>
        <v>1</v>
      </c>
      <c r="G71" s="11">
        <f t="shared" si="4"/>
        <v>3170134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207</v>
      </c>
      <c r="F72" s="11">
        <f t="shared" si="5"/>
        <v>1</v>
      </c>
      <c r="G72" s="11">
        <f t="shared" si="4"/>
        <v>824000000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207</v>
      </c>
      <c r="F73" s="11">
        <f t="shared" si="5"/>
        <v>1</v>
      </c>
      <c r="G73" s="11">
        <f t="shared" si="4"/>
        <v>535600000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207</v>
      </c>
      <c r="F74" s="11">
        <f t="shared" si="5"/>
        <v>1</v>
      </c>
      <c r="G74" s="11">
        <f t="shared" si="4"/>
        <v>618000000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204</v>
      </c>
      <c r="F75" s="11">
        <f t="shared" si="5"/>
        <v>0</v>
      </c>
      <c r="G75" s="11">
        <f t="shared" si="4"/>
        <v>-40800000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201</v>
      </c>
      <c r="F76" s="11">
        <f t="shared" si="5"/>
        <v>0</v>
      </c>
      <c r="G76" s="11">
        <f t="shared" si="4"/>
        <v>-402140700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201</v>
      </c>
      <c r="F77" s="11">
        <f t="shared" si="5"/>
        <v>0</v>
      </c>
      <c r="G77" s="11">
        <f t="shared" si="4"/>
        <v>-40200000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197</v>
      </c>
      <c r="F78" s="11">
        <f t="shared" si="5"/>
        <v>1</v>
      </c>
      <c r="G78" s="11">
        <f t="shared" si="4"/>
        <v>392000000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189</v>
      </c>
      <c r="F79" s="11">
        <f t="shared" si="5"/>
        <v>0</v>
      </c>
      <c r="G79" s="11">
        <f t="shared" si="4"/>
        <v>-189094500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189</v>
      </c>
      <c r="F80" s="11">
        <f t="shared" si="5"/>
        <v>0</v>
      </c>
      <c r="G80" s="11">
        <f t="shared" si="4"/>
        <v>-26828550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186</v>
      </c>
      <c r="F81" s="11">
        <f t="shared" si="5"/>
        <v>0</v>
      </c>
      <c r="G81" s="11">
        <f t="shared" si="4"/>
        <v>-167493000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176</v>
      </c>
      <c r="F82" s="11">
        <f t="shared" si="5"/>
        <v>1</v>
      </c>
      <c r="G82" s="11">
        <f t="shared" si="4"/>
        <v>14218925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154</v>
      </c>
      <c r="F83" s="11">
        <f t="shared" si="5"/>
        <v>1</v>
      </c>
      <c r="G83" s="11">
        <f t="shared" si="4"/>
        <v>7650000000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153</v>
      </c>
      <c r="F84" s="11">
        <f t="shared" si="5"/>
        <v>1</v>
      </c>
      <c r="G84" s="11">
        <f t="shared" si="4"/>
        <v>4560000000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153</v>
      </c>
      <c r="F85" s="11">
        <f t="shared" si="5"/>
        <v>0</v>
      </c>
      <c r="G85" s="11">
        <f t="shared" si="4"/>
        <v>-11092500000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152</v>
      </c>
      <c r="F86" s="11">
        <f t="shared" si="5"/>
        <v>0</v>
      </c>
      <c r="G86" s="11">
        <f t="shared" si="4"/>
        <v>-42712000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147</v>
      </c>
      <c r="F87" s="11">
        <f t="shared" si="5"/>
        <v>1</v>
      </c>
      <c r="G87" s="11">
        <f t="shared" si="4"/>
        <v>365000000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146</v>
      </c>
      <c r="F88" s="11">
        <f t="shared" si="5"/>
        <v>1</v>
      </c>
      <c r="G88" s="11">
        <f t="shared" si="4"/>
        <v>11359300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141</v>
      </c>
      <c r="F89" s="11">
        <f t="shared" si="5"/>
        <v>1</v>
      </c>
      <c r="G89" s="11">
        <f t="shared" si="4"/>
        <v>2100000000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116</v>
      </c>
      <c r="F90" s="11">
        <f t="shared" si="5"/>
        <v>1</v>
      </c>
      <c r="G90" s="11">
        <f t="shared" si="4"/>
        <v>28157290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87</v>
      </c>
      <c r="F91" s="11">
        <f t="shared" si="5"/>
        <v>1</v>
      </c>
      <c r="G91" s="11">
        <f t="shared" si="4"/>
        <v>23405330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57</v>
      </c>
      <c r="F92" s="11">
        <f t="shared" si="5"/>
        <v>1</v>
      </c>
      <c r="G92" s="11">
        <f t="shared" si="4"/>
        <v>168000000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57</v>
      </c>
      <c r="F93" s="11">
        <f t="shared" si="5"/>
        <v>1</v>
      </c>
      <c r="G93" s="11">
        <f t="shared" si="4"/>
        <v>15365560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56</v>
      </c>
      <c r="F94" s="11">
        <f t="shared" si="5"/>
        <v>1</v>
      </c>
      <c r="G94" s="11">
        <f t="shared" si="4"/>
        <v>302500000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55</v>
      </c>
      <c r="F95" s="11">
        <f t="shared" si="5"/>
        <v>1</v>
      </c>
      <c r="G95" s="11">
        <f t="shared" si="4"/>
        <v>162000000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54</v>
      </c>
      <c r="F96" s="11">
        <f t="shared" si="5"/>
        <v>1</v>
      </c>
      <c r="G96" s="11">
        <f t="shared" si="4"/>
        <v>159000000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53</v>
      </c>
      <c r="F97" s="11">
        <f t="shared" si="5"/>
        <v>1</v>
      </c>
      <c r="G97" s="11">
        <f t="shared" si="4"/>
        <v>156000000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52</v>
      </c>
      <c r="F98" s="11">
        <f t="shared" si="5"/>
        <v>1</v>
      </c>
      <c r="G98" s="11">
        <f t="shared" si="4"/>
        <v>153000000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51</v>
      </c>
      <c r="F99" s="11">
        <f t="shared" si="5"/>
        <v>1</v>
      </c>
      <c r="G99" s="11">
        <f t="shared" si="4"/>
        <v>150000000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49</v>
      </c>
      <c r="F100" s="11">
        <f t="shared" si="5"/>
        <v>1</v>
      </c>
      <c r="G100" s="11">
        <f t="shared" si="4"/>
        <v>47976000</v>
      </c>
    </row>
    <row r="101" spans="1:7" ht="30" x14ac:dyDescent="0.25">
      <c r="A101" s="11" t="s">
        <v>904</v>
      </c>
      <c r="B101" s="38">
        <v>-1986700</v>
      </c>
      <c r="C101" s="74" t="s">
        <v>906</v>
      </c>
      <c r="D101" s="11">
        <v>21</v>
      </c>
      <c r="E101" s="11">
        <f t="shared" si="6"/>
        <v>48</v>
      </c>
      <c r="F101" s="11">
        <f t="shared" si="5"/>
        <v>0</v>
      </c>
      <c r="G101" s="11">
        <f t="shared" si="4"/>
        <v>-95361600</v>
      </c>
    </row>
    <row r="102" spans="1:7" ht="30" x14ac:dyDescent="0.25">
      <c r="A102" s="11" t="s">
        <v>908</v>
      </c>
      <c r="B102" s="38">
        <v>3000000</v>
      </c>
      <c r="C102" s="74" t="s">
        <v>909</v>
      </c>
      <c r="D102" s="11">
        <v>0</v>
      </c>
      <c r="E102" s="11">
        <f t="shared" si="6"/>
        <v>27</v>
      </c>
      <c r="F102" s="11">
        <f t="shared" si="5"/>
        <v>1</v>
      </c>
      <c r="G102" s="11">
        <f t="shared" si="4"/>
        <v>78000000</v>
      </c>
    </row>
    <row r="103" spans="1:7" x14ac:dyDescent="0.25">
      <c r="A103" s="11" t="s">
        <v>1064</v>
      </c>
      <c r="B103" s="38">
        <v>295500</v>
      </c>
      <c r="C103" s="74" t="s">
        <v>1065</v>
      </c>
      <c r="D103" s="11">
        <v>15</v>
      </c>
      <c r="E103" s="11">
        <f t="shared" si="6"/>
        <v>27</v>
      </c>
      <c r="F103" s="11">
        <f t="shared" si="5"/>
        <v>1</v>
      </c>
      <c r="G103" s="11">
        <f t="shared" si="4"/>
        <v>7683000</v>
      </c>
    </row>
    <row r="104" spans="1:7" x14ac:dyDescent="0.25">
      <c r="A104" s="11" t="s">
        <v>933</v>
      </c>
      <c r="B104" s="38">
        <v>-10000</v>
      </c>
      <c r="C104" s="74" t="s">
        <v>939</v>
      </c>
      <c r="D104" s="11">
        <v>6</v>
      </c>
      <c r="E104" s="11">
        <f t="shared" si="6"/>
        <v>12</v>
      </c>
      <c r="F104" s="11">
        <f t="shared" si="5"/>
        <v>0</v>
      </c>
      <c r="G104" s="11">
        <f t="shared" si="4"/>
        <v>-120000</v>
      </c>
    </row>
    <row r="105" spans="1:7" x14ac:dyDescent="0.25">
      <c r="A105" s="11" t="s">
        <v>941</v>
      </c>
      <c r="B105" s="38">
        <v>1999000</v>
      </c>
      <c r="C105" s="74" t="s">
        <v>942</v>
      </c>
      <c r="D105" s="11">
        <v>5</v>
      </c>
      <c r="E105" s="11">
        <f t="shared" si="6"/>
        <v>6</v>
      </c>
      <c r="F105" s="11">
        <f t="shared" si="5"/>
        <v>1</v>
      </c>
      <c r="G105" s="11">
        <f t="shared" si="4"/>
        <v>9995000</v>
      </c>
    </row>
    <row r="106" spans="1:7" x14ac:dyDescent="0.25">
      <c r="A106" s="11" t="s">
        <v>960</v>
      </c>
      <c r="B106" s="38">
        <v>-60000000</v>
      </c>
      <c r="C106" s="74" t="s">
        <v>1058</v>
      </c>
      <c r="D106" s="11">
        <v>0</v>
      </c>
      <c r="E106" s="11">
        <f t="shared" si="6"/>
        <v>1</v>
      </c>
      <c r="F106" s="11">
        <f t="shared" si="5"/>
        <v>0</v>
      </c>
      <c r="G106" s="11">
        <f t="shared" si="4"/>
        <v>-60000000</v>
      </c>
    </row>
    <row r="107" spans="1:7" x14ac:dyDescent="0.25">
      <c r="A107" s="11" t="s">
        <v>960</v>
      </c>
      <c r="B107" s="38">
        <v>5850000</v>
      </c>
      <c r="C107" s="74" t="s">
        <v>1062</v>
      </c>
      <c r="D107" s="11">
        <v>1</v>
      </c>
      <c r="E107" s="11">
        <f t="shared" si="6"/>
        <v>1</v>
      </c>
      <c r="F107" s="11">
        <f t="shared" si="5"/>
        <v>1</v>
      </c>
      <c r="G107" s="11">
        <f t="shared" si="4"/>
        <v>0</v>
      </c>
    </row>
    <row r="108" spans="1:7" x14ac:dyDescent="0.25">
      <c r="A108" s="11"/>
      <c r="B108" s="38"/>
      <c r="C108" s="74"/>
      <c r="D108" s="11">
        <v>0</v>
      </c>
      <c r="E108" s="11">
        <f t="shared" si="6"/>
        <v>0</v>
      </c>
      <c r="F108" s="11">
        <f t="shared" si="5"/>
        <v>0</v>
      </c>
      <c r="G108" s="11">
        <f t="shared" si="4"/>
        <v>0</v>
      </c>
    </row>
    <row r="109" spans="1:7" x14ac:dyDescent="0.25">
      <c r="A109" s="11"/>
      <c r="B109" s="38"/>
      <c r="C109" s="74"/>
      <c r="D109" s="11">
        <v>0</v>
      </c>
      <c r="E109" s="11">
        <f t="shared" si="6"/>
        <v>0</v>
      </c>
      <c r="F109" s="11">
        <f t="shared" si="5"/>
        <v>0</v>
      </c>
      <c r="G109" s="11">
        <f t="shared" si="4"/>
        <v>0</v>
      </c>
    </row>
    <row r="110" spans="1:7" x14ac:dyDescent="0.25">
      <c r="A110" s="11"/>
      <c r="B110" s="38"/>
      <c r="C110" s="74"/>
      <c r="D110" s="11">
        <v>0</v>
      </c>
      <c r="E110" s="11">
        <f t="shared" si="6"/>
        <v>0</v>
      </c>
      <c r="F110" s="11">
        <f t="shared" si="5"/>
        <v>0</v>
      </c>
      <c r="G110" s="11">
        <f t="shared" si="4"/>
        <v>0</v>
      </c>
    </row>
    <row r="111" spans="1:7" x14ac:dyDescent="0.25">
      <c r="A111" s="11"/>
      <c r="B111" s="38"/>
      <c r="C111" s="74"/>
      <c r="D111" s="11">
        <v>0</v>
      </c>
      <c r="E111" s="11">
        <f t="shared" si="6"/>
        <v>0</v>
      </c>
      <c r="F111" s="11">
        <f t="shared" si="5"/>
        <v>0</v>
      </c>
      <c r="G111" s="11">
        <f t="shared" si="4"/>
        <v>0</v>
      </c>
    </row>
    <row r="112" spans="1:7" x14ac:dyDescent="0.25">
      <c r="A112" s="11"/>
      <c r="B112" s="38"/>
      <c r="C112" s="74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4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4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4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4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4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4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4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4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4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4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4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7314793</v>
      </c>
      <c r="C127" s="11"/>
      <c r="D127" s="11"/>
      <c r="E127" s="11"/>
      <c r="F127" s="11"/>
      <c r="G127" s="29">
        <f>SUM(G2:G126)</f>
        <v>20993681180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44384103.974630021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3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abSelected="1" workbookViewId="0">
      <pane ySplit="1" topLeftCell="A2" activePane="bottomLeft" state="frozen"/>
      <selection pane="bottomLeft" activeCell="T40" sqref="T40"/>
    </sheetView>
  </sheetViews>
  <sheetFormatPr defaultRowHeight="15" x14ac:dyDescent="0.25"/>
  <cols>
    <col min="1" max="1" width="10.7109375" bestFit="1" customWidth="1"/>
    <col min="2" max="2" width="9.28515625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15.140625" bestFit="1" customWidth="1"/>
    <col min="8" max="8" width="14.5703125" bestFit="1" customWidth="1"/>
    <col min="9" max="9" width="16.140625" bestFit="1" customWidth="1"/>
    <col min="10" max="10" width="17.5703125" bestFit="1" customWidth="1"/>
    <col min="11" max="11" width="16.140625" bestFit="1" customWidth="1"/>
    <col min="12" max="12" width="16.85546875" bestFit="1" customWidth="1"/>
    <col min="13" max="13" width="15.85546875" bestFit="1" customWidth="1"/>
    <col min="14" max="15" width="8.85546875" bestFit="1" customWidth="1"/>
    <col min="16" max="16" width="14.140625" bestFit="1" customWidth="1"/>
    <col min="17" max="17" width="12.85546875" bestFit="1" customWidth="1"/>
    <col min="18" max="18" width="37" bestFit="1" customWidth="1"/>
    <col min="19" max="19" width="13.85546875" bestFit="1" customWidth="1"/>
    <col min="20" max="20" width="37" bestFit="1" customWidth="1"/>
    <col min="21" max="21" width="11.42578125" bestFit="1" customWidth="1"/>
    <col min="25" max="25" width="11.42578125" bestFit="1" customWidth="1"/>
    <col min="27" max="27" width="35.140625" customWidth="1"/>
  </cols>
  <sheetData>
    <row r="1" spans="1:24" x14ac:dyDescent="0.25">
      <c r="A1" s="11" t="s">
        <v>967</v>
      </c>
      <c r="B1" s="11" t="s">
        <v>964</v>
      </c>
      <c r="C1" s="11" t="s">
        <v>965</v>
      </c>
      <c r="D1" s="11" t="s">
        <v>977</v>
      </c>
      <c r="E1" s="11" t="s">
        <v>979</v>
      </c>
      <c r="F1" s="11" t="s">
        <v>968</v>
      </c>
      <c r="G1" s="11" t="s">
        <v>183</v>
      </c>
      <c r="H1" s="11" t="s">
        <v>984</v>
      </c>
      <c r="I1" s="11" t="s">
        <v>973</v>
      </c>
      <c r="J1" s="11" t="s">
        <v>980</v>
      </c>
      <c r="K1" s="11" t="s">
        <v>981</v>
      </c>
      <c r="L1" s="11" t="s">
        <v>974</v>
      </c>
      <c r="M1" s="11" t="s">
        <v>982</v>
      </c>
      <c r="N1" s="11" t="s">
        <v>5</v>
      </c>
      <c r="O1" s="11" t="s">
        <v>484</v>
      </c>
      <c r="P1" s="11" t="s">
        <v>39</v>
      </c>
      <c r="Q1" s="11" t="s">
        <v>1066</v>
      </c>
      <c r="R1" s="11" t="s">
        <v>8</v>
      </c>
      <c r="S1" s="11" t="s">
        <v>986</v>
      </c>
    </row>
    <row r="2" spans="1:24" x14ac:dyDescent="0.25">
      <c r="A2" s="77" t="s">
        <v>952</v>
      </c>
      <c r="B2" s="77" t="s">
        <v>975</v>
      </c>
      <c r="C2" s="77">
        <v>400</v>
      </c>
      <c r="D2" s="77" t="s">
        <v>61</v>
      </c>
      <c r="E2" s="78">
        <v>96959</v>
      </c>
      <c r="F2" s="78">
        <v>39275391</v>
      </c>
      <c r="G2" s="77">
        <v>0</v>
      </c>
      <c r="H2" s="77">
        <v>21</v>
      </c>
      <c r="I2" s="78">
        <f>F2*G2*($H$76-H2)/(36500)</f>
        <v>0</v>
      </c>
      <c r="J2" s="77">
        <v>7.2499999999999995E-2</v>
      </c>
      <c r="K2" s="78">
        <f>C2*E2*J2/100</f>
        <v>28118.11</v>
      </c>
      <c r="L2" s="77">
        <f>(E2*(1+J2/100)+I2/C2)/(1-J3/100)</f>
        <v>97099.692552100285</v>
      </c>
      <c r="M2" s="77"/>
      <c r="N2" s="77"/>
      <c r="O2" s="77"/>
      <c r="P2" s="77"/>
      <c r="Q2" s="77"/>
      <c r="R2" s="77" t="s">
        <v>976</v>
      </c>
      <c r="S2" s="77"/>
    </row>
    <row r="3" spans="1:24" x14ac:dyDescent="0.25">
      <c r="A3" s="77" t="s">
        <v>952</v>
      </c>
      <c r="B3" s="77" t="s">
        <v>975</v>
      </c>
      <c r="C3" s="77">
        <v>400</v>
      </c>
      <c r="D3" s="77" t="s">
        <v>978</v>
      </c>
      <c r="E3" s="78">
        <v>99999</v>
      </c>
      <c r="F3" s="78">
        <v>40434473</v>
      </c>
      <c r="G3" s="77"/>
      <c r="H3" s="77">
        <v>21</v>
      </c>
      <c r="I3" s="78">
        <f>F3*G3*($H$76-H3)/(36500)</f>
        <v>0</v>
      </c>
      <c r="J3" s="77">
        <v>7.2499999999999995E-2</v>
      </c>
      <c r="K3" s="78">
        <f>C3*E3*J3/100</f>
        <v>28999.71</v>
      </c>
      <c r="L3" s="77">
        <v>0</v>
      </c>
      <c r="M3" s="79">
        <f>F3-F2</f>
        <v>1159082</v>
      </c>
      <c r="N3" s="77">
        <v>400</v>
      </c>
      <c r="O3" s="77">
        <f>C2-N3</f>
        <v>0</v>
      </c>
      <c r="P3" s="79">
        <f>M3*N3/C2</f>
        <v>1159082</v>
      </c>
      <c r="Q3" s="79">
        <f>M3*O3/C2</f>
        <v>0</v>
      </c>
      <c r="R3" s="77" t="s">
        <v>985</v>
      </c>
      <c r="S3" s="77"/>
      <c r="X3" s="26"/>
    </row>
    <row r="4" spans="1:24" x14ac:dyDescent="0.25">
      <c r="A4" s="80" t="s">
        <v>962</v>
      </c>
      <c r="B4" s="80" t="s">
        <v>983</v>
      </c>
      <c r="C4" s="80">
        <v>300</v>
      </c>
      <c r="D4" s="80" t="s">
        <v>61</v>
      </c>
      <c r="E4" s="81">
        <v>97219</v>
      </c>
      <c r="F4" s="81">
        <v>29203853</v>
      </c>
      <c r="G4" s="80">
        <v>3</v>
      </c>
      <c r="H4" s="80">
        <v>21</v>
      </c>
      <c r="I4" s="81">
        <f>F4*G4*($H$76-H4)/(36500)</f>
        <v>2400.3166849315066</v>
      </c>
      <c r="J4" s="80">
        <v>7.2499999999999995E-2</v>
      </c>
      <c r="K4" s="81">
        <f>C4*E4*J4/100</f>
        <v>21145.1325</v>
      </c>
      <c r="L4" s="80">
        <f t="shared" ref="L4" si="0">(E4*(1+J4/100)+I4/C4)/(1-J5/100)</f>
        <v>97368.076686213957</v>
      </c>
      <c r="M4" s="80"/>
      <c r="N4" s="80"/>
      <c r="O4" s="80"/>
      <c r="P4" s="80"/>
      <c r="Q4" s="80"/>
      <c r="R4" s="80"/>
      <c r="S4" s="81"/>
    </row>
    <row r="5" spans="1:24" x14ac:dyDescent="0.25">
      <c r="A5" s="80" t="s">
        <v>960</v>
      </c>
      <c r="B5" s="80" t="s">
        <v>983</v>
      </c>
      <c r="C5" s="80">
        <v>300</v>
      </c>
      <c r="D5" s="80" t="s">
        <v>978</v>
      </c>
      <c r="E5" s="81">
        <v>98000</v>
      </c>
      <c r="F5" s="81">
        <v>29446055</v>
      </c>
      <c r="G5" s="80">
        <v>0</v>
      </c>
      <c r="H5" s="80">
        <v>0</v>
      </c>
      <c r="I5" s="81">
        <f>F5*G5*($H$76-H5)/(36500)</f>
        <v>0</v>
      </c>
      <c r="J5" s="80">
        <v>7.2499999999999995E-2</v>
      </c>
      <c r="K5" s="81"/>
      <c r="L5" s="80">
        <v>0</v>
      </c>
      <c r="M5" s="82">
        <f>F5-F4</f>
        <v>242202</v>
      </c>
      <c r="N5" s="80">
        <v>300</v>
      </c>
      <c r="O5" s="80">
        <f>C4-N5</f>
        <v>0</v>
      </c>
      <c r="P5" s="82">
        <f>M5*N5/C4</f>
        <v>242202</v>
      </c>
      <c r="Q5" s="82">
        <f>M5*O5/C4</f>
        <v>0</v>
      </c>
      <c r="R5" s="80"/>
      <c r="S5" s="81"/>
    </row>
    <row r="6" spans="1:24" x14ac:dyDescent="0.25">
      <c r="A6" s="77" t="s">
        <v>960</v>
      </c>
      <c r="B6" s="77" t="s">
        <v>1054</v>
      </c>
      <c r="C6" s="77">
        <v>200</v>
      </c>
      <c r="D6" s="77" t="s">
        <v>61</v>
      </c>
      <c r="E6" s="78">
        <v>70000</v>
      </c>
      <c r="F6" s="78">
        <v>14010149</v>
      </c>
      <c r="G6" s="77">
        <v>0</v>
      </c>
      <c r="H6" s="77">
        <v>0</v>
      </c>
      <c r="I6" s="78">
        <f>F6*G6*($H$76-H6)/(36500)</f>
        <v>0</v>
      </c>
      <c r="J6" s="77">
        <v>7.2499999999999995E-2</v>
      </c>
      <c r="K6" s="78">
        <f t="shared" ref="K6:K17" si="1">C6*E6*J6/100</f>
        <v>10149.999999999998</v>
      </c>
      <c r="L6" s="77">
        <f t="shared" ref="L6" si="2">(E6*(1+J6/100)+I6/C6)/(1-J7/100)</f>
        <v>70101.573640889648</v>
      </c>
      <c r="M6" s="77"/>
      <c r="N6" s="77"/>
      <c r="O6" s="77"/>
      <c r="P6" s="77"/>
      <c r="Q6" s="77"/>
      <c r="R6" s="77"/>
      <c r="S6" s="77"/>
    </row>
    <row r="7" spans="1:24" x14ac:dyDescent="0.25">
      <c r="A7" s="77" t="s">
        <v>960</v>
      </c>
      <c r="B7" s="77" t="s">
        <v>1054</v>
      </c>
      <c r="C7" s="77">
        <v>200</v>
      </c>
      <c r="D7" s="77" t="s">
        <v>978</v>
      </c>
      <c r="E7" s="78">
        <v>704889</v>
      </c>
      <c r="F7" s="78">
        <v>14087559</v>
      </c>
      <c r="G7" s="77">
        <v>0</v>
      </c>
      <c r="H7" s="77">
        <v>0</v>
      </c>
      <c r="I7" s="78">
        <f>F7*G7*($H$76-H7)/(36500)</f>
        <v>0</v>
      </c>
      <c r="J7" s="77">
        <v>7.2499999999999995E-2</v>
      </c>
      <c r="K7" s="78">
        <f t="shared" si="1"/>
        <v>102208.905</v>
      </c>
      <c r="L7" s="77">
        <v>0</v>
      </c>
      <c r="M7" s="79">
        <f>F7-F6</f>
        <v>77410</v>
      </c>
      <c r="N7" s="77">
        <v>100</v>
      </c>
      <c r="O7" s="77">
        <f>C6-N7</f>
        <v>100</v>
      </c>
      <c r="P7" s="79">
        <f>M7*N7/C6</f>
        <v>38705</v>
      </c>
      <c r="Q7" s="79">
        <f>M7*O7/C6</f>
        <v>38705</v>
      </c>
      <c r="R7" s="77"/>
      <c r="S7" s="77"/>
    </row>
    <row r="8" spans="1:24" x14ac:dyDescent="0.25">
      <c r="A8" s="80" t="s">
        <v>960</v>
      </c>
      <c r="B8" s="80" t="s">
        <v>995</v>
      </c>
      <c r="C8" s="80">
        <v>200</v>
      </c>
      <c r="D8" s="80" t="s">
        <v>61</v>
      </c>
      <c r="E8" s="81">
        <v>83000</v>
      </c>
      <c r="F8" s="81">
        <v>17464390</v>
      </c>
      <c r="G8" s="80">
        <v>0</v>
      </c>
      <c r="H8" s="80">
        <v>15</v>
      </c>
      <c r="I8" s="81">
        <f>F8*G8*($H$76-H8)/(36500)</f>
        <v>0</v>
      </c>
      <c r="J8" s="80">
        <v>7.2499999999999995E-2</v>
      </c>
      <c r="K8" s="81">
        <f t="shared" si="1"/>
        <v>12035</v>
      </c>
      <c r="L8" s="80">
        <f>(E8*(1+J8/100)+I8/C8)/(1-J9/100)</f>
        <v>83120.437317054864</v>
      </c>
      <c r="M8" s="80"/>
      <c r="N8" s="80"/>
      <c r="O8" s="80"/>
      <c r="P8" s="80"/>
      <c r="Q8" s="80"/>
      <c r="R8" s="80"/>
      <c r="S8" s="80"/>
    </row>
    <row r="9" spans="1:24" x14ac:dyDescent="0.25">
      <c r="A9" s="80" t="s">
        <v>960</v>
      </c>
      <c r="B9" s="80" t="s">
        <v>995</v>
      </c>
      <c r="C9" s="80">
        <v>200</v>
      </c>
      <c r="D9" s="80" t="s">
        <v>978</v>
      </c>
      <c r="E9" s="81">
        <v>83399</v>
      </c>
      <c r="F9" s="81">
        <v>17520183</v>
      </c>
      <c r="G9" s="80">
        <v>0</v>
      </c>
      <c r="H9" s="80">
        <v>15</v>
      </c>
      <c r="I9" s="81">
        <f>F9*G9*($H$76-H9)/(36500)</f>
        <v>0</v>
      </c>
      <c r="J9" s="80">
        <v>7.2499999999999995E-2</v>
      </c>
      <c r="K9" s="81">
        <f t="shared" si="1"/>
        <v>12092.855</v>
      </c>
      <c r="L9" s="80">
        <v>0</v>
      </c>
      <c r="M9" s="82">
        <f>F9-F8</f>
        <v>55793</v>
      </c>
      <c r="N9" s="80">
        <v>100</v>
      </c>
      <c r="O9" s="80">
        <f>C8-N9</f>
        <v>100</v>
      </c>
      <c r="P9" s="82">
        <f>M9*N9/C8</f>
        <v>27896.5</v>
      </c>
      <c r="Q9" s="82">
        <f>M9*O9/C8</f>
        <v>27896.5</v>
      </c>
      <c r="R9" s="80"/>
      <c r="S9" s="80"/>
    </row>
    <row r="10" spans="1:24" x14ac:dyDescent="0.25">
      <c r="A10" s="77" t="s">
        <v>1069</v>
      </c>
      <c r="B10" s="77" t="s">
        <v>1054</v>
      </c>
      <c r="C10" s="77">
        <v>143</v>
      </c>
      <c r="D10" s="77" t="s">
        <v>61</v>
      </c>
      <c r="E10" s="78">
        <v>70003</v>
      </c>
      <c r="F10" s="78">
        <v>10017729</v>
      </c>
      <c r="G10" s="77">
        <v>0</v>
      </c>
      <c r="H10" s="77">
        <v>0</v>
      </c>
      <c r="I10" s="78">
        <f>F10*G10*($H$76-H10)/(36500)</f>
        <v>0</v>
      </c>
      <c r="J10" s="77">
        <v>7.2499999999999995E-2</v>
      </c>
      <c r="K10" s="78">
        <f t="shared" si="1"/>
        <v>7257.5610249999991</v>
      </c>
      <c r="L10" s="77">
        <f t="shared" ref="L10" si="3">(E10*(1+J10/100)+I10/C10)/(1-J11/100)</f>
        <v>70104.577994045685</v>
      </c>
      <c r="M10" s="79"/>
      <c r="N10" s="77"/>
      <c r="O10" s="77"/>
      <c r="P10" s="79"/>
      <c r="Q10" s="79"/>
      <c r="R10" s="77"/>
      <c r="S10" s="77"/>
    </row>
    <row r="11" spans="1:24" x14ac:dyDescent="0.25">
      <c r="A11" s="77" t="s">
        <v>1069</v>
      </c>
      <c r="B11" s="77" t="s">
        <v>1054</v>
      </c>
      <c r="C11" s="77">
        <v>143</v>
      </c>
      <c r="D11" s="77" t="s">
        <v>978</v>
      </c>
      <c r="E11" s="78">
        <v>70500</v>
      </c>
      <c r="F11" s="78">
        <v>10074191</v>
      </c>
      <c r="G11" s="77">
        <v>0</v>
      </c>
      <c r="H11" s="77">
        <v>0</v>
      </c>
      <c r="I11" s="78">
        <f>F11*G11*($H$76-H11)/(36500)</f>
        <v>0</v>
      </c>
      <c r="J11" s="77">
        <v>7.2499999999999995E-2</v>
      </c>
      <c r="K11" s="78">
        <f t="shared" si="1"/>
        <v>7309.0874999999996</v>
      </c>
      <c r="L11" s="77"/>
      <c r="M11" s="79">
        <f>F11-F10</f>
        <v>56462</v>
      </c>
      <c r="N11" s="77">
        <v>71.5</v>
      </c>
      <c r="O11" s="77">
        <f>C10-N11</f>
        <v>71.5</v>
      </c>
      <c r="P11" s="79">
        <f>M11*N11/C10</f>
        <v>28231</v>
      </c>
      <c r="Q11" s="79">
        <f>M11*O11/C10</f>
        <v>28231</v>
      </c>
      <c r="R11" s="77"/>
      <c r="S11" s="77"/>
    </row>
    <row r="12" spans="1:24" x14ac:dyDescent="0.25">
      <c r="A12" s="80" t="s">
        <v>1069</v>
      </c>
      <c r="B12" s="80" t="s">
        <v>966</v>
      </c>
      <c r="C12" s="80">
        <v>500</v>
      </c>
      <c r="D12" s="80" t="s">
        <v>61</v>
      </c>
      <c r="E12" s="81">
        <v>80620</v>
      </c>
      <c r="F12" s="81">
        <v>40339223</v>
      </c>
      <c r="G12" s="80">
        <v>0</v>
      </c>
      <c r="H12" s="80">
        <v>0</v>
      </c>
      <c r="I12" s="81">
        <f>F12*G12*($H$76-H12)/(36500)</f>
        <v>0</v>
      </c>
      <c r="J12" s="80">
        <v>7.2499999999999995E-2</v>
      </c>
      <c r="K12" s="81">
        <f t="shared" si="1"/>
        <v>29224.75</v>
      </c>
      <c r="L12" s="80"/>
      <c r="M12" s="82"/>
      <c r="N12" s="80"/>
      <c r="O12" s="80"/>
      <c r="P12" s="82"/>
      <c r="Q12" s="82"/>
      <c r="R12" s="80"/>
      <c r="S12" s="80"/>
    </row>
    <row r="13" spans="1:24" x14ac:dyDescent="0.25">
      <c r="A13" s="80" t="s">
        <v>1069</v>
      </c>
      <c r="B13" s="80" t="s">
        <v>966</v>
      </c>
      <c r="C13" s="80">
        <v>500</v>
      </c>
      <c r="D13" s="80" t="s">
        <v>978</v>
      </c>
      <c r="E13" s="81">
        <v>80980</v>
      </c>
      <c r="F13" s="81">
        <v>40460644</v>
      </c>
      <c r="G13" s="80">
        <v>0</v>
      </c>
      <c r="H13" s="80">
        <v>0</v>
      </c>
      <c r="I13" s="81"/>
      <c r="J13" s="80">
        <v>7.2499999999999995E-2</v>
      </c>
      <c r="K13" s="81">
        <f t="shared" si="1"/>
        <v>29355.25</v>
      </c>
      <c r="L13" s="80"/>
      <c r="M13" s="82">
        <f>F13-F12</f>
        <v>121421</v>
      </c>
      <c r="N13" s="80">
        <v>250</v>
      </c>
      <c r="O13" s="80">
        <v>250</v>
      </c>
      <c r="P13" s="82">
        <f>M13*N13/C12</f>
        <v>60710.5</v>
      </c>
      <c r="Q13" s="82">
        <f>M13*O13/C12</f>
        <v>60710.5</v>
      </c>
      <c r="R13" s="80"/>
      <c r="S13" s="80"/>
    </row>
    <row r="14" spans="1:24" x14ac:dyDescent="0.25">
      <c r="A14" s="77" t="s">
        <v>1069</v>
      </c>
      <c r="B14" s="77" t="s">
        <v>1054</v>
      </c>
      <c r="C14" s="77">
        <v>140</v>
      </c>
      <c r="D14" s="77" t="s">
        <v>1071</v>
      </c>
      <c r="E14" s="78">
        <v>70502</v>
      </c>
      <c r="F14" s="78">
        <v>9877463</v>
      </c>
      <c r="G14" s="77">
        <v>0</v>
      </c>
      <c r="H14" s="77">
        <v>0</v>
      </c>
      <c r="I14" s="78"/>
      <c r="J14" s="77">
        <v>7.2499999999999995E-2</v>
      </c>
      <c r="K14" s="78">
        <f t="shared" si="1"/>
        <v>7155.9529999999995</v>
      </c>
      <c r="L14" s="77"/>
      <c r="M14" s="79"/>
      <c r="N14" s="77"/>
      <c r="O14" s="77"/>
      <c r="P14" s="79"/>
      <c r="Q14" s="79"/>
      <c r="R14" s="77"/>
      <c r="S14" s="77"/>
    </row>
    <row r="15" spans="1:24" x14ac:dyDescent="0.25">
      <c r="A15" s="77" t="s">
        <v>1069</v>
      </c>
      <c r="B15" s="77" t="s">
        <v>1054</v>
      </c>
      <c r="C15" s="77">
        <v>140</v>
      </c>
      <c r="D15" s="77" t="s">
        <v>978</v>
      </c>
      <c r="E15" s="78">
        <v>71186</v>
      </c>
      <c r="F15" s="78">
        <v>9958940</v>
      </c>
      <c r="G15" s="77">
        <v>0</v>
      </c>
      <c r="H15" s="77">
        <v>0</v>
      </c>
      <c r="I15" s="78"/>
      <c r="J15" s="77">
        <v>7.2499999999999995E-2</v>
      </c>
      <c r="K15" s="78">
        <f t="shared" si="1"/>
        <v>7225.378999999999</v>
      </c>
      <c r="L15" s="77"/>
      <c r="M15" s="79">
        <f>F15-F14</f>
        <v>81477</v>
      </c>
      <c r="N15" s="77">
        <v>70</v>
      </c>
      <c r="O15" s="77">
        <v>70</v>
      </c>
      <c r="P15" s="79">
        <f>M15*N15/C14</f>
        <v>40738.5</v>
      </c>
      <c r="Q15" s="79">
        <f>M15*O15/C14</f>
        <v>40738.5</v>
      </c>
      <c r="R15" s="77"/>
      <c r="S15" s="77"/>
    </row>
    <row r="16" spans="1:24" x14ac:dyDescent="0.25">
      <c r="A16" s="80" t="s">
        <v>952</v>
      </c>
      <c r="B16" s="80" t="s">
        <v>966</v>
      </c>
      <c r="C16" s="80">
        <v>3</v>
      </c>
      <c r="D16" s="80" t="s">
        <v>61</v>
      </c>
      <c r="E16" s="81">
        <v>80100</v>
      </c>
      <c r="F16" s="81">
        <v>240474</v>
      </c>
      <c r="G16" s="80">
        <v>5</v>
      </c>
      <c r="H16" s="80">
        <v>0</v>
      </c>
      <c r="I16" s="81">
        <f>F16*G16*($H$76-H16)/(36500)</f>
        <v>724.71616438356159</v>
      </c>
      <c r="J16" s="80">
        <v>7.2499999999999995E-2</v>
      </c>
      <c r="K16" s="81">
        <f t="shared" si="1"/>
        <v>174.2175</v>
      </c>
      <c r="L16" s="80"/>
      <c r="M16" s="82"/>
      <c r="N16" s="80"/>
      <c r="O16" s="80"/>
      <c r="P16" s="82"/>
      <c r="Q16" s="82"/>
      <c r="R16" s="80"/>
      <c r="S16" s="80"/>
    </row>
    <row r="17" spans="1:19" x14ac:dyDescent="0.25">
      <c r="A17" s="80" t="s">
        <v>1069</v>
      </c>
      <c r="B17" s="80" t="s">
        <v>966</v>
      </c>
      <c r="C17" s="80">
        <v>3</v>
      </c>
      <c r="D17" s="80" t="s">
        <v>978</v>
      </c>
      <c r="E17" s="81">
        <v>81000</v>
      </c>
      <c r="F17" s="81">
        <v>243596</v>
      </c>
      <c r="G17" s="80">
        <v>0</v>
      </c>
      <c r="H17" s="80">
        <v>0</v>
      </c>
      <c r="I17" s="81"/>
      <c r="J17" s="80">
        <v>7.2499999999999995E-2</v>
      </c>
      <c r="K17" s="81">
        <f t="shared" si="1"/>
        <v>176.17500000000001</v>
      </c>
      <c r="L17" s="80"/>
      <c r="M17" s="82">
        <f>F17-F16</f>
        <v>3122</v>
      </c>
      <c r="N17" s="80">
        <v>1.5</v>
      </c>
      <c r="O17" s="80">
        <v>1.5</v>
      </c>
      <c r="P17" s="82">
        <f>M17*N17/C16</f>
        <v>1561</v>
      </c>
      <c r="Q17" s="82">
        <f>M17*O17/C16</f>
        <v>1561</v>
      </c>
      <c r="R17" s="80"/>
      <c r="S17" s="80"/>
    </row>
    <row r="18" spans="1:19" x14ac:dyDescent="0.25">
      <c r="A18" s="77"/>
      <c r="B18" s="77"/>
      <c r="C18" s="77"/>
      <c r="D18" s="77"/>
      <c r="E18" s="78"/>
      <c r="F18" s="78"/>
      <c r="G18" s="77"/>
      <c r="H18" s="77"/>
      <c r="I18" s="78"/>
      <c r="J18" s="77"/>
      <c r="K18" s="78"/>
      <c r="L18" s="77"/>
      <c r="M18" s="79"/>
      <c r="N18" s="77"/>
      <c r="O18" s="77"/>
      <c r="P18" s="79"/>
      <c r="Q18" s="79"/>
      <c r="R18" s="77"/>
      <c r="S18" s="77"/>
    </row>
    <row r="19" spans="1:19" x14ac:dyDescent="0.25">
      <c r="A19" s="77"/>
      <c r="B19" s="77"/>
      <c r="C19" s="77"/>
      <c r="D19" s="77"/>
      <c r="E19" s="78"/>
      <c r="F19" s="78"/>
      <c r="G19" s="77"/>
      <c r="H19" s="77"/>
      <c r="I19" s="78"/>
      <c r="J19" s="77"/>
      <c r="K19" s="78"/>
      <c r="L19" s="77"/>
      <c r="M19" s="79"/>
      <c r="N19" s="77"/>
      <c r="O19" s="77"/>
      <c r="P19" s="79"/>
      <c r="Q19" s="79"/>
      <c r="R19" s="77"/>
      <c r="S19" s="77"/>
    </row>
    <row r="20" spans="1:19" x14ac:dyDescent="0.25">
      <c r="A20" s="80"/>
      <c r="B20" s="80"/>
      <c r="C20" s="80"/>
      <c r="D20" s="80"/>
      <c r="E20" s="81"/>
      <c r="F20" s="81"/>
      <c r="G20" s="80"/>
      <c r="H20" s="80"/>
      <c r="I20" s="81"/>
      <c r="J20" s="80"/>
      <c r="K20" s="81"/>
      <c r="L20" s="80"/>
      <c r="M20" s="82"/>
      <c r="N20" s="80"/>
      <c r="O20" s="80"/>
      <c r="P20" s="82"/>
      <c r="Q20" s="82"/>
      <c r="R20" s="80"/>
      <c r="S20" s="80"/>
    </row>
    <row r="21" spans="1:19" x14ac:dyDescent="0.25">
      <c r="A21" s="80"/>
      <c r="B21" s="80"/>
      <c r="C21" s="80"/>
      <c r="D21" s="80"/>
      <c r="E21" s="81"/>
      <c r="F21" s="81"/>
      <c r="G21" s="80"/>
      <c r="H21" s="80"/>
      <c r="I21" s="81"/>
      <c r="J21" s="80"/>
      <c r="K21" s="81"/>
      <c r="L21" s="80"/>
      <c r="M21" s="82"/>
      <c r="N21" s="80"/>
      <c r="O21" s="80"/>
      <c r="P21" s="82"/>
      <c r="Q21" s="82"/>
      <c r="R21" s="80"/>
      <c r="S21" s="80"/>
    </row>
    <row r="22" spans="1:19" x14ac:dyDescent="0.25">
      <c r="A22" s="77"/>
      <c r="B22" s="77"/>
      <c r="C22" s="77"/>
      <c r="D22" s="77"/>
      <c r="E22" s="78"/>
      <c r="F22" s="78"/>
      <c r="G22" s="77"/>
      <c r="H22" s="77"/>
      <c r="I22" s="78"/>
      <c r="J22" s="77"/>
      <c r="K22" s="78"/>
      <c r="L22" s="77"/>
      <c r="M22" s="79"/>
      <c r="N22" s="77"/>
      <c r="O22" s="77"/>
      <c r="P22" s="79"/>
      <c r="Q22" s="79"/>
      <c r="R22" s="77"/>
      <c r="S22" s="77"/>
    </row>
    <row r="23" spans="1:19" x14ac:dyDescent="0.25">
      <c r="A23" s="77"/>
      <c r="B23" s="77"/>
      <c r="C23" s="77"/>
      <c r="D23" s="77"/>
      <c r="E23" s="78"/>
      <c r="F23" s="78"/>
      <c r="G23" s="77"/>
      <c r="H23" s="77"/>
      <c r="I23" s="78"/>
      <c r="J23" s="77"/>
      <c r="K23" s="78"/>
      <c r="L23" s="77"/>
      <c r="M23" s="79"/>
      <c r="N23" s="77"/>
      <c r="O23" s="77"/>
      <c r="P23" s="79"/>
      <c r="Q23" s="79"/>
      <c r="R23" s="77"/>
      <c r="S23" s="77"/>
    </row>
    <row r="24" spans="1:19" x14ac:dyDescent="0.25">
      <c r="A24" s="80"/>
      <c r="B24" s="80"/>
      <c r="C24" s="80"/>
      <c r="D24" s="80"/>
      <c r="E24" s="81"/>
      <c r="F24" s="81"/>
      <c r="G24" s="80"/>
      <c r="H24" s="80"/>
      <c r="I24" s="81"/>
      <c r="J24" s="80"/>
      <c r="K24" s="81"/>
      <c r="L24" s="80"/>
      <c r="M24" s="82"/>
      <c r="N24" s="80"/>
      <c r="O24" s="80"/>
      <c r="P24" s="82"/>
      <c r="Q24" s="82"/>
      <c r="R24" s="80"/>
      <c r="S24" s="80"/>
    </row>
    <row r="25" spans="1:19" x14ac:dyDescent="0.25">
      <c r="A25" s="80"/>
      <c r="B25" s="80"/>
      <c r="C25" s="80"/>
      <c r="D25" s="80"/>
      <c r="E25" s="81"/>
      <c r="F25" s="81"/>
      <c r="G25" s="80"/>
      <c r="H25" s="80"/>
      <c r="I25" s="81"/>
      <c r="J25" s="80"/>
      <c r="K25" s="81"/>
      <c r="L25" s="80"/>
      <c r="M25" s="82"/>
      <c r="N25" s="80"/>
      <c r="O25" s="80"/>
      <c r="P25" s="82"/>
      <c r="Q25" s="82"/>
      <c r="R25" s="80"/>
      <c r="S25" s="80"/>
    </row>
    <row r="26" spans="1:19" x14ac:dyDescent="0.25">
      <c r="A26" s="77"/>
      <c r="B26" s="77"/>
      <c r="C26" s="77"/>
      <c r="D26" s="77"/>
      <c r="E26" s="78"/>
      <c r="F26" s="78"/>
      <c r="G26" s="77"/>
      <c r="H26" s="77"/>
      <c r="I26" s="78"/>
      <c r="J26" s="77"/>
      <c r="K26" s="78"/>
      <c r="L26" s="77"/>
      <c r="M26" s="79"/>
      <c r="N26" s="77"/>
      <c r="O26" s="77"/>
      <c r="P26" s="79"/>
      <c r="Q26" s="79"/>
      <c r="R26" s="77"/>
      <c r="S26" s="77"/>
    </row>
    <row r="27" spans="1:19" x14ac:dyDescent="0.25">
      <c r="A27" s="77"/>
      <c r="B27" s="77"/>
      <c r="C27" s="77"/>
      <c r="D27" s="77"/>
      <c r="E27" s="78"/>
      <c r="F27" s="78"/>
      <c r="G27" s="77"/>
      <c r="H27" s="77"/>
      <c r="I27" s="78"/>
      <c r="J27" s="77"/>
      <c r="K27" s="78"/>
      <c r="L27" s="77"/>
      <c r="M27" s="79"/>
      <c r="N27" s="77"/>
      <c r="O27" s="77"/>
      <c r="P27" s="79"/>
      <c r="Q27" s="79"/>
      <c r="R27" s="77"/>
      <c r="S27" s="77"/>
    </row>
    <row r="28" spans="1:19" x14ac:dyDescent="0.25">
      <c r="A28" s="80"/>
      <c r="B28" s="80"/>
      <c r="C28" s="80"/>
      <c r="D28" s="80"/>
      <c r="E28" s="81"/>
      <c r="F28" s="81"/>
      <c r="G28" s="80"/>
      <c r="H28" s="80"/>
      <c r="I28" s="81"/>
      <c r="J28" s="80"/>
      <c r="K28" s="81"/>
      <c r="L28" s="80"/>
      <c r="M28" s="82"/>
      <c r="N28" s="80"/>
      <c r="O28" s="80"/>
      <c r="P28" s="82"/>
      <c r="Q28" s="82"/>
      <c r="R28" s="80"/>
      <c r="S28" s="80"/>
    </row>
    <row r="29" spans="1:19" x14ac:dyDescent="0.25">
      <c r="A29" s="80"/>
      <c r="B29" s="80"/>
      <c r="C29" s="80"/>
      <c r="D29" s="80"/>
      <c r="E29" s="81"/>
      <c r="F29" s="81"/>
      <c r="G29" s="80"/>
      <c r="H29" s="80"/>
      <c r="I29" s="81"/>
      <c r="J29" s="80"/>
      <c r="K29" s="81"/>
      <c r="L29" s="80"/>
      <c r="M29" s="82"/>
      <c r="N29" s="80"/>
      <c r="O29" s="80"/>
      <c r="P29" s="82"/>
      <c r="Q29" s="82"/>
      <c r="R29" s="80"/>
      <c r="S29" s="80"/>
    </row>
    <row r="30" spans="1:19" x14ac:dyDescent="0.25">
      <c r="A30" s="77"/>
      <c r="B30" s="77"/>
      <c r="C30" s="77"/>
      <c r="D30" s="77"/>
      <c r="E30" s="78"/>
      <c r="F30" s="78"/>
      <c r="G30" s="77"/>
      <c r="H30" s="77"/>
      <c r="I30" s="78"/>
      <c r="J30" s="77"/>
      <c r="K30" s="78"/>
      <c r="L30" s="77"/>
      <c r="M30" s="79"/>
      <c r="N30" s="77"/>
      <c r="O30" s="77"/>
      <c r="P30" s="79"/>
      <c r="Q30" s="79"/>
      <c r="R30" s="77"/>
      <c r="S30" s="77"/>
    </row>
    <row r="31" spans="1:19" x14ac:dyDescent="0.25">
      <c r="A31" s="77"/>
      <c r="B31" s="77"/>
      <c r="C31" s="77"/>
      <c r="D31" s="77"/>
      <c r="E31" s="78"/>
      <c r="F31" s="78"/>
      <c r="G31" s="77"/>
      <c r="H31" s="77"/>
      <c r="I31" s="78"/>
      <c r="J31" s="77"/>
      <c r="K31" s="78"/>
      <c r="L31" s="77"/>
      <c r="M31" s="79"/>
      <c r="N31" s="77"/>
      <c r="O31" s="77"/>
      <c r="P31" s="79"/>
      <c r="Q31" s="79"/>
      <c r="R31" s="77"/>
      <c r="S31" s="77"/>
    </row>
    <row r="32" spans="1:19" x14ac:dyDescent="0.25">
      <c r="A32" s="16" t="s">
        <v>952</v>
      </c>
      <c r="B32" s="16" t="s">
        <v>966</v>
      </c>
      <c r="C32" s="16">
        <v>497</v>
      </c>
      <c r="D32" s="16" t="s">
        <v>61</v>
      </c>
      <c r="E32" s="14">
        <v>80100</v>
      </c>
      <c r="F32" s="14">
        <v>39838611</v>
      </c>
      <c r="G32" s="16">
        <v>6</v>
      </c>
      <c r="H32" s="16">
        <v>0</v>
      </c>
      <c r="I32" s="14">
        <f>F32*G32*($H$76-H32)/(36500)</f>
        <v>144073.88087671233</v>
      </c>
      <c r="J32" s="16">
        <v>7.2499999999999995E-2</v>
      </c>
      <c r="K32" s="14">
        <f>C32*E32*J32/100</f>
        <v>28862.032500000001</v>
      </c>
      <c r="L32" s="16">
        <f>(E32*(1+J32/100)+I32/C32)/(1-J33/100)</f>
        <v>80506.326671095536</v>
      </c>
      <c r="M32" s="16"/>
      <c r="N32" s="16"/>
      <c r="O32" s="16"/>
      <c r="P32" s="16"/>
      <c r="Q32" s="16"/>
      <c r="R32" s="16"/>
      <c r="S32" s="14">
        <v>81000</v>
      </c>
    </row>
    <row r="33" spans="1:19" x14ac:dyDescent="0.25">
      <c r="A33" s="16"/>
      <c r="B33" s="16"/>
      <c r="C33" s="16"/>
      <c r="D33" s="16"/>
      <c r="E33" s="14">
        <v>0</v>
      </c>
      <c r="F33" s="14">
        <v>0</v>
      </c>
      <c r="G33" s="16"/>
      <c r="H33" s="16"/>
      <c r="I33" s="14">
        <f>F33*G33*($H$76-H33)/(36500)</f>
        <v>0</v>
      </c>
      <c r="J33" s="16">
        <v>7.2499999999999995E-2</v>
      </c>
      <c r="K33" s="14"/>
      <c r="L33" s="16">
        <v>0</v>
      </c>
      <c r="M33" s="16">
        <v>0</v>
      </c>
      <c r="N33" s="16">
        <v>248.5</v>
      </c>
      <c r="O33" s="16">
        <f>C32-N33</f>
        <v>248.5</v>
      </c>
      <c r="P33" s="16">
        <f>M33*N33/C32</f>
        <v>0</v>
      </c>
      <c r="Q33" s="16">
        <f>M33*O33/C32</f>
        <v>0</v>
      </c>
      <c r="R33" s="16"/>
      <c r="S33" s="16"/>
    </row>
    <row r="34" spans="1:19" x14ac:dyDescent="0.25">
      <c r="A34" s="84" t="s">
        <v>962</v>
      </c>
      <c r="B34" s="84" t="s">
        <v>983</v>
      </c>
      <c r="C34" s="84">
        <v>100</v>
      </c>
      <c r="D34" s="84" t="s">
        <v>61</v>
      </c>
      <c r="E34" s="85">
        <v>97219</v>
      </c>
      <c r="F34" s="85">
        <v>9734617</v>
      </c>
      <c r="G34" s="84">
        <v>5</v>
      </c>
      <c r="H34" s="84">
        <v>21</v>
      </c>
      <c r="I34" s="85">
        <f>F34*G34*($H$76-H34)/(36500)</f>
        <v>1333.5091780821917</v>
      </c>
      <c r="J34" s="84">
        <v>7.2499999999999995E-2</v>
      </c>
      <c r="K34" s="85"/>
      <c r="L34" s="84">
        <f t="shared" ref="L34" si="4">(E34*(1+J34/100)+I34/C34)/(1-J35/100)</f>
        <v>97373.414592360306</v>
      </c>
      <c r="M34" s="84"/>
      <c r="N34" s="84"/>
      <c r="O34" s="84"/>
      <c r="P34" s="84"/>
      <c r="Q34" s="84"/>
      <c r="R34" s="84"/>
      <c r="S34" s="85">
        <v>98000</v>
      </c>
    </row>
    <row r="35" spans="1:19" x14ac:dyDescent="0.25">
      <c r="A35" s="84"/>
      <c r="B35" s="84"/>
      <c r="C35" s="84"/>
      <c r="D35" s="84"/>
      <c r="E35" s="85"/>
      <c r="F35" s="85"/>
      <c r="G35" s="84"/>
      <c r="H35" s="84"/>
      <c r="I35" s="85">
        <f>F35*G35*($H$76-H35)/(36500)</f>
        <v>0</v>
      </c>
      <c r="J35" s="84">
        <v>7.2499999999999995E-2</v>
      </c>
      <c r="K35" s="85">
        <f t="shared" ref="K35" si="5">C35*E35*J35/100</f>
        <v>0</v>
      </c>
      <c r="L35" s="84">
        <v>0</v>
      </c>
      <c r="M35" s="84"/>
      <c r="N35" s="84">
        <v>100</v>
      </c>
      <c r="O35" s="84">
        <f>C34-N35</f>
        <v>0</v>
      </c>
      <c r="P35" s="84">
        <f>M35*N35/C34</f>
        <v>0</v>
      </c>
      <c r="Q35" s="84">
        <f>M35*O35/C34</f>
        <v>0</v>
      </c>
      <c r="R35" s="84"/>
      <c r="S35" s="84"/>
    </row>
    <row r="36" spans="1:19" x14ac:dyDescent="0.25">
      <c r="A36" s="16" t="s">
        <v>960</v>
      </c>
      <c r="B36" s="16" t="s">
        <v>991</v>
      </c>
      <c r="C36" s="16">
        <v>400</v>
      </c>
      <c r="D36" s="16" t="s">
        <v>61</v>
      </c>
      <c r="E36" s="14">
        <v>97875</v>
      </c>
      <c r="F36" s="14">
        <v>40842466</v>
      </c>
      <c r="G36" s="16">
        <v>2</v>
      </c>
      <c r="H36" s="16">
        <v>21</v>
      </c>
      <c r="I36" s="14">
        <f>F36*G36*($H$76-H36)/(36500)</f>
        <v>2237.9433424657536</v>
      </c>
      <c r="J36" s="16">
        <v>7.2499999999999995E-2</v>
      </c>
      <c r="K36" s="14">
        <f>C36*E36*J36/100</f>
        <v>28383.75</v>
      </c>
      <c r="L36" s="16">
        <f>(E36*(1+J36/100)+I36/C36)/(1-J37/100)</f>
        <v>98022.620633315324</v>
      </c>
      <c r="M36" s="16"/>
      <c r="N36" s="16"/>
      <c r="O36" s="16"/>
      <c r="P36" s="16"/>
      <c r="Q36" s="16"/>
      <c r="R36" s="16" t="s">
        <v>1077</v>
      </c>
      <c r="S36" s="14">
        <v>98000</v>
      </c>
    </row>
    <row r="37" spans="1:19" x14ac:dyDescent="0.25">
      <c r="A37" s="16"/>
      <c r="B37" s="16"/>
      <c r="C37" s="16"/>
      <c r="D37" s="16"/>
      <c r="E37" s="14"/>
      <c r="F37" s="14"/>
      <c r="G37" s="16"/>
      <c r="H37" s="16"/>
      <c r="I37" s="14">
        <f>F37*G37*($H$76-H37)/(36500)</f>
        <v>0</v>
      </c>
      <c r="J37" s="16">
        <v>7.2499999999999995E-2</v>
      </c>
      <c r="K37" s="16"/>
      <c r="L37" s="16">
        <v>0</v>
      </c>
      <c r="M37" s="16"/>
      <c r="N37" s="16">
        <v>200</v>
      </c>
      <c r="O37" s="16">
        <f>C36-N37</f>
        <v>200</v>
      </c>
      <c r="P37" s="16">
        <f>M37*N37/C36</f>
        <v>0</v>
      </c>
      <c r="Q37" s="16">
        <f>M37*O37/C36</f>
        <v>0</v>
      </c>
      <c r="R37" s="16"/>
      <c r="S37" s="16"/>
    </row>
    <row r="38" spans="1:19" x14ac:dyDescent="0.25">
      <c r="A38" s="16" t="s">
        <v>960</v>
      </c>
      <c r="B38" s="16" t="s">
        <v>975</v>
      </c>
      <c r="C38" s="16">
        <v>700</v>
      </c>
      <c r="D38" s="16" t="s">
        <v>61</v>
      </c>
      <c r="E38" s="14">
        <v>97328</v>
      </c>
      <c r="F38" s="14">
        <v>69147478</v>
      </c>
      <c r="G38" s="16">
        <v>2</v>
      </c>
      <c r="H38" s="16">
        <v>21</v>
      </c>
      <c r="I38" s="14">
        <f>F38*G38*($H$76-H38)/(36500)</f>
        <v>3788.9029041095891</v>
      </c>
      <c r="J38" s="16">
        <v>7.2499999999999995E-2</v>
      </c>
      <c r="K38" s="16">
        <f>C38*E38*J38/100</f>
        <v>49393.96</v>
      </c>
      <c r="L38" s="16">
        <f>(E38*(1+J38/100)+I38/C38)/(1-J39/100)</f>
        <v>97474.644635795397</v>
      </c>
      <c r="M38" s="16"/>
      <c r="N38" s="16"/>
      <c r="O38" s="16"/>
      <c r="P38" s="16"/>
      <c r="Q38" s="16"/>
      <c r="R38" s="16" t="s">
        <v>1078</v>
      </c>
      <c r="S38" s="14">
        <v>98000</v>
      </c>
    </row>
    <row r="39" spans="1:19" x14ac:dyDescent="0.25">
      <c r="A39" s="16"/>
      <c r="B39" s="16"/>
      <c r="C39" s="16"/>
      <c r="D39" s="16"/>
      <c r="E39" s="14"/>
      <c r="F39" s="14"/>
      <c r="G39" s="16"/>
      <c r="H39" s="16"/>
      <c r="I39" s="14">
        <f>F39*G39*($H$76-H39)/(36500)</f>
        <v>0</v>
      </c>
      <c r="J39" s="16">
        <v>7.2499999999999995E-2</v>
      </c>
      <c r="K39" s="16"/>
      <c r="L39" s="16">
        <v>0</v>
      </c>
      <c r="M39" s="16"/>
      <c r="N39" s="16">
        <v>350</v>
      </c>
      <c r="O39" s="16">
        <f>C38-N39</f>
        <v>350</v>
      </c>
      <c r="P39" s="16">
        <f>M39*N39/C38</f>
        <v>0</v>
      </c>
      <c r="Q39" s="16">
        <f>M39*O39/C38</f>
        <v>0</v>
      </c>
      <c r="R39" s="16"/>
      <c r="S39" s="16"/>
    </row>
    <row r="40" spans="1:19" x14ac:dyDescent="0.25">
      <c r="A40" s="84"/>
      <c r="B40" s="84"/>
      <c r="C40" s="84"/>
      <c r="D40" s="84"/>
      <c r="E40" s="85"/>
      <c r="F40" s="85"/>
      <c r="G40" s="84"/>
      <c r="H40" s="84"/>
      <c r="I40" s="85"/>
      <c r="J40" s="84"/>
      <c r="K40" s="84"/>
      <c r="L40" s="84"/>
      <c r="M40" s="84"/>
      <c r="N40" s="84"/>
      <c r="O40" s="84"/>
      <c r="P40" s="84"/>
      <c r="Q40" s="84"/>
      <c r="R40" s="84"/>
      <c r="S40" s="85"/>
    </row>
    <row r="41" spans="1:19" x14ac:dyDescent="0.25">
      <c r="A41" s="84"/>
      <c r="B41" s="84"/>
      <c r="C41" s="84"/>
      <c r="D41" s="84"/>
      <c r="E41" s="84"/>
      <c r="F41" s="84"/>
      <c r="G41" s="84"/>
      <c r="H41" s="84"/>
      <c r="I41" s="85"/>
      <c r="J41" s="84"/>
      <c r="K41" s="84"/>
      <c r="L41" s="84"/>
      <c r="M41" s="84"/>
      <c r="N41" s="84"/>
      <c r="O41" s="84"/>
      <c r="P41" s="84"/>
      <c r="Q41" s="84"/>
      <c r="R41" s="84"/>
      <c r="S41" s="84"/>
    </row>
    <row r="42" spans="1:19" x14ac:dyDescent="0.25">
      <c r="A42" s="16"/>
      <c r="B42" s="16"/>
      <c r="C42" s="16"/>
      <c r="D42" s="16"/>
      <c r="E42" s="14"/>
      <c r="F42" s="14"/>
      <c r="G42" s="16"/>
      <c r="H42" s="16"/>
      <c r="I42" s="14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 x14ac:dyDescent="0.25">
      <c r="A43" s="16"/>
      <c r="B43" s="16"/>
      <c r="C43" s="16"/>
      <c r="D43" s="16"/>
      <c r="E43" s="16"/>
      <c r="F43" s="14"/>
      <c r="G43" s="16"/>
      <c r="H43" s="16"/>
      <c r="I43" s="14"/>
      <c r="J43" s="16"/>
      <c r="K43" s="16"/>
      <c r="L43" s="16"/>
      <c r="M43" s="14"/>
      <c r="N43" s="16"/>
      <c r="O43" s="16"/>
      <c r="P43" s="14"/>
      <c r="Q43" s="14"/>
      <c r="R43" s="16"/>
      <c r="S43" s="16"/>
    </row>
    <row r="44" spans="1:19" x14ac:dyDescent="0.25">
      <c r="A44" s="84"/>
      <c r="B44" s="84"/>
      <c r="C44" s="84"/>
      <c r="D44" s="84"/>
      <c r="E44" s="84"/>
      <c r="F44" s="84"/>
      <c r="G44" s="84"/>
      <c r="H44" s="84"/>
      <c r="I44" s="85"/>
      <c r="J44" s="84"/>
      <c r="K44" s="84"/>
      <c r="L44" s="84"/>
      <c r="M44" s="84"/>
      <c r="N44" s="84"/>
      <c r="O44" s="84"/>
      <c r="P44" s="84"/>
      <c r="Q44" s="84"/>
      <c r="R44" s="84"/>
      <c r="S44" s="84"/>
    </row>
    <row r="45" spans="1:19" x14ac:dyDescent="0.25">
      <c r="A45" s="84"/>
      <c r="B45" s="84"/>
      <c r="C45" s="84"/>
      <c r="D45" s="84"/>
      <c r="E45" s="84"/>
      <c r="F45" s="84"/>
      <c r="G45" s="84"/>
      <c r="H45" s="84"/>
      <c r="I45" s="85"/>
      <c r="J45" s="84"/>
      <c r="K45" s="84"/>
      <c r="L45" s="84"/>
      <c r="M45" s="84"/>
      <c r="N45" s="84"/>
      <c r="O45" s="84"/>
      <c r="P45" s="84"/>
      <c r="Q45" s="84"/>
      <c r="R45" s="84"/>
      <c r="S45" s="84"/>
    </row>
    <row r="46" spans="1:19" x14ac:dyDescent="0.25">
      <c r="A46" s="16"/>
      <c r="B46" s="16"/>
      <c r="C46" s="16"/>
      <c r="D46" s="16"/>
      <c r="E46" s="16"/>
      <c r="F46" s="16"/>
      <c r="G46" s="16"/>
      <c r="H46" s="16"/>
      <c r="I46" s="14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x14ac:dyDescent="0.25">
      <c r="A47" s="16"/>
      <c r="B47" s="16"/>
      <c r="C47" s="16"/>
      <c r="D47" s="16"/>
      <c r="E47" s="16"/>
      <c r="F47" s="16"/>
      <c r="G47" s="16"/>
      <c r="H47" s="16"/>
      <c r="I47" s="14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19" x14ac:dyDescent="0.25">
      <c r="A48" s="84"/>
      <c r="B48" s="84"/>
      <c r="C48" s="84"/>
      <c r="D48" s="84"/>
      <c r="E48" s="84"/>
      <c r="F48" s="84"/>
      <c r="G48" s="84"/>
      <c r="H48" s="84"/>
      <c r="I48" s="85"/>
      <c r="J48" s="84"/>
      <c r="K48" s="84"/>
      <c r="L48" s="84"/>
      <c r="M48" s="84"/>
      <c r="N48" s="84"/>
      <c r="O48" s="84"/>
      <c r="P48" s="84"/>
      <c r="Q48" s="84"/>
      <c r="R48" s="84"/>
      <c r="S48" s="84"/>
    </row>
    <row r="49" spans="1:19" x14ac:dyDescent="0.25">
      <c r="A49" s="84"/>
      <c r="B49" s="84"/>
      <c r="C49" s="84"/>
      <c r="D49" s="84"/>
      <c r="E49" s="84"/>
      <c r="F49" s="84"/>
      <c r="G49" s="84"/>
      <c r="H49" s="84"/>
      <c r="I49" s="85"/>
      <c r="J49" s="84"/>
      <c r="K49" s="84"/>
      <c r="L49" s="84"/>
      <c r="M49" s="84"/>
      <c r="N49" s="84"/>
      <c r="O49" s="84"/>
      <c r="P49" s="84"/>
      <c r="Q49" s="84"/>
      <c r="R49" s="84"/>
      <c r="S49" s="84"/>
    </row>
    <row r="50" spans="1:19" x14ac:dyDescent="0.25">
      <c r="A50" s="84"/>
      <c r="B50" s="84"/>
      <c r="C50" s="84"/>
      <c r="D50" s="84"/>
      <c r="E50" s="84"/>
      <c r="F50" s="84"/>
      <c r="G50" s="84"/>
      <c r="H50" s="84"/>
      <c r="I50" s="85" t="s">
        <v>25</v>
      </c>
      <c r="J50" s="84"/>
      <c r="K50" s="84"/>
      <c r="L50" s="84"/>
      <c r="M50" s="84"/>
      <c r="N50" s="84"/>
      <c r="O50" s="84"/>
      <c r="P50" s="84"/>
      <c r="Q50" s="84"/>
      <c r="R50" s="84"/>
      <c r="S50" s="84"/>
    </row>
    <row r="51" spans="1:19" x14ac:dyDescent="0.25">
      <c r="A51" s="84"/>
      <c r="B51" s="84"/>
      <c r="C51" s="84"/>
      <c r="D51" s="84"/>
      <c r="E51" s="84"/>
      <c r="F51" s="84"/>
      <c r="G51" s="84"/>
      <c r="H51" s="84"/>
      <c r="I51" s="85"/>
      <c r="J51" s="84"/>
      <c r="K51" s="84"/>
      <c r="L51" s="84"/>
      <c r="M51" s="84"/>
      <c r="N51" s="84"/>
      <c r="O51" s="84"/>
      <c r="P51" s="84"/>
      <c r="Q51" s="84"/>
      <c r="R51" s="84"/>
      <c r="S51" s="84"/>
    </row>
    <row r="52" spans="1:19" x14ac:dyDescent="0.25">
      <c r="A52" s="84"/>
      <c r="B52" s="84"/>
      <c r="C52" s="84"/>
      <c r="D52" s="84"/>
      <c r="E52" s="84"/>
      <c r="F52" s="84"/>
      <c r="G52" s="84"/>
      <c r="H52" s="84"/>
      <c r="I52" s="85"/>
      <c r="J52" s="84"/>
      <c r="K52" s="84"/>
      <c r="L52" s="84"/>
      <c r="M52" s="84"/>
      <c r="N52" s="84"/>
      <c r="O52" s="84"/>
      <c r="P52" s="84"/>
      <c r="Q52" s="84"/>
      <c r="R52" s="84"/>
      <c r="S52" s="84"/>
    </row>
    <row r="53" spans="1:19" x14ac:dyDescent="0.25">
      <c r="A53" s="84"/>
      <c r="B53" s="84"/>
      <c r="C53" s="84"/>
      <c r="D53" s="84"/>
      <c r="E53" s="84"/>
      <c r="F53" s="84"/>
      <c r="G53" s="84"/>
      <c r="H53" s="84"/>
      <c r="I53" s="85"/>
      <c r="J53" s="84"/>
      <c r="K53" s="84"/>
      <c r="L53" s="84"/>
      <c r="M53" s="84"/>
      <c r="N53" s="84"/>
      <c r="O53" s="84"/>
      <c r="P53" s="84"/>
      <c r="Q53" s="84"/>
      <c r="R53" s="84"/>
      <c r="S53" s="84"/>
    </row>
    <row r="54" spans="1:19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83"/>
      <c r="O54" s="83"/>
      <c r="P54" s="11"/>
      <c r="Q54" s="11"/>
      <c r="R54" s="11"/>
      <c r="S54" s="11"/>
    </row>
    <row r="55" spans="1:19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3">
        <f>SUM(M2:M53)</f>
        <v>1796969</v>
      </c>
      <c r="N55" s="11"/>
      <c r="O55" s="11"/>
      <c r="P55" s="3">
        <f>SUM(P2:P54)</f>
        <v>1599126.5</v>
      </c>
      <c r="Q55" s="3">
        <f>SUM(Q3:Q54)</f>
        <v>197842.5</v>
      </c>
      <c r="R55" s="11"/>
      <c r="S55" s="11"/>
    </row>
    <row r="56" spans="1:19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 t="s">
        <v>191</v>
      </c>
      <c r="N56" s="11"/>
      <c r="O56" s="11"/>
      <c r="P56" s="11" t="s">
        <v>1067</v>
      </c>
      <c r="Q56" s="11" t="s">
        <v>1068</v>
      </c>
      <c r="R56" s="11"/>
      <c r="S56" s="11"/>
    </row>
    <row r="58" spans="1:19" x14ac:dyDescent="0.25">
      <c r="B58" s="11" t="s">
        <v>987</v>
      </c>
      <c r="C58" s="11" t="s">
        <v>182</v>
      </c>
    </row>
    <row r="59" spans="1:19" x14ac:dyDescent="0.25">
      <c r="B59" s="11" t="s">
        <v>988</v>
      </c>
      <c r="C59" s="3">
        <v>10833789</v>
      </c>
      <c r="F59" s="7"/>
    </row>
    <row r="60" spans="1:19" x14ac:dyDescent="0.25">
      <c r="B60" s="11" t="s">
        <v>966</v>
      </c>
      <c r="C60" s="3">
        <f>C32*S32*(1-J33/100)</f>
        <v>40227813.675000004</v>
      </c>
    </row>
    <row r="61" spans="1:19" x14ac:dyDescent="0.25">
      <c r="B61" s="11" t="s">
        <v>989</v>
      </c>
      <c r="C61" s="3">
        <f>C34*S34*(1-J35/100)</f>
        <v>9792895</v>
      </c>
    </row>
    <row r="62" spans="1:19" x14ac:dyDescent="0.25">
      <c r="B62" s="11" t="s">
        <v>991</v>
      </c>
      <c r="C62" s="3">
        <f>C36*S36*(1-J37/100)</f>
        <v>39171580</v>
      </c>
      <c r="E62" t="s">
        <v>25</v>
      </c>
    </row>
    <row r="63" spans="1:19" x14ac:dyDescent="0.25">
      <c r="B63" s="11" t="s">
        <v>975</v>
      </c>
      <c r="C63" s="3">
        <f>C38*S38*(1-J39/100)</f>
        <v>68550265</v>
      </c>
    </row>
    <row r="64" spans="1:19" x14ac:dyDescent="0.25">
      <c r="B64" s="11" t="s">
        <v>1055</v>
      </c>
      <c r="C64" s="3">
        <v>1664082</v>
      </c>
    </row>
    <row r="65" spans="1:14" x14ac:dyDescent="0.25">
      <c r="B65" s="11" t="s">
        <v>1056</v>
      </c>
      <c r="C65" s="3">
        <v>968084</v>
      </c>
    </row>
    <row r="66" spans="1:14" x14ac:dyDescent="0.25">
      <c r="B66" s="11"/>
      <c r="C66" s="11"/>
    </row>
    <row r="67" spans="1:14" x14ac:dyDescent="0.25">
      <c r="B67" s="11"/>
      <c r="C67" s="11"/>
    </row>
    <row r="68" spans="1:14" x14ac:dyDescent="0.25">
      <c r="B68" s="11"/>
      <c r="C68" s="11"/>
    </row>
    <row r="69" spans="1:14" x14ac:dyDescent="0.25">
      <c r="B69" s="11" t="s">
        <v>6</v>
      </c>
      <c r="C69" s="29">
        <f>SUM(C59:C68)</f>
        <v>171208508.67500001</v>
      </c>
    </row>
    <row r="70" spans="1:14" x14ac:dyDescent="0.25">
      <c r="B70" s="11"/>
      <c r="C70" s="11"/>
      <c r="D70" t="s">
        <v>25</v>
      </c>
    </row>
    <row r="71" spans="1:14" x14ac:dyDescent="0.25">
      <c r="B71" s="11" t="s">
        <v>982</v>
      </c>
      <c r="C71" s="29">
        <f>C69-M86</f>
        <v>2211845.6613013744</v>
      </c>
      <c r="G71" s="25"/>
    </row>
    <row r="72" spans="1:14" x14ac:dyDescent="0.25">
      <c r="I72" s="25"/>
    </row>
    <row r="73" spans="1:14" x14ac:dyDescent="0.25">
      <c r="I73" s="25"/>
    </row>
    <row r="74" spans="1:14" x14ac:dyDescent="0.25">
      <c r="I74" s="28"/>
    </row>
    <row r="75" spans="1:14" x14ac:dyDescent="0.25">
      <c r="H75" s="11" t="s">
        <v>984</v>
      </c>
      <c r="I75" s="25"/>
    </row>
    <row r="76" spans="1:14" x14ac:dyDescent="0.25">
      <c r="H76" s="11">
        <v>22</v>
      </c>
      <c r="I76" s="25"/>
    </row>
    <row r="77" spans="1:14" x14ac:dyDescent="0.25">
      <c r="A77" s="11" t="s">
        <v>180</v>
      </c>
      <c r="B77" s="11" t="s">
        <v>970</v>
      </c>
      <c r="C77" s="11" t="s">
        <v>267</v>
      </c>
      <c r="D77" s="11" t="s">
        <v>8</v>
      </c>
      <c r="E77" s="11" t="s">
        <v>5</v>
      </c>
      <c r="F77" s="11" t="s">
        <v>484</v>
      </c>
      <c r="G77" s="11" t="s">
        <v>183</v>
      </c>
      <c r="H77" s="11" t="s">
        <v>971</v>
      </c>
      <c r="I77" s="11" t="s">
        <v>1072</v>
      </c>
      <c r="J77" s="11" t="s">
        <v>1073</v>
      </c>
      <c r="K77" s="11" t="s">
        <v>1074</v>
      </c>
      <c r="L77" s="11" t="s">
        <v>1075</v>
      </c>
      <c r="M77" s="11" t="s">
        <v>972</v>
      </c>
      <c r="N77" s="25"/>
    </row>
    <row r="78" spans="1:14" x14ac:dyDescent="0.25">
      <c r="A78" s="11" t="s">
        <v>952</v>
      </c>
      <c r="B78" s="11" t="s">
        <v>963</v>
      </c>
      <c r="C78" s="3">
        <v>80500000</v>
      </c>
      <c r="D78" s="11" t="s">
        <v>676</v>
      </c>
      <c r="E78" s="3">
        <v>80500000</v>
      </c>
      <c r="F78" s="29">
        <f>C78-E78</f>
        <v>0</v>
      </c>
      <c r="G78" s="11">
        <v>6</v>
      </c>
      <c r="H78" s="3">
        <f t="shared" ref="H78:H84" si="6">C78*G78*$H$76/(365*100)</f>
        <v>291123.28767123289</v>
      </c>
      <c r="I78" s="3">
        <f>H78</f>
        <v>291123.28767123289</v>
      </c>
      <c r="J78" s="3">
        <v>0</v>
      </c>
      <c r="K78" s="3">
        <f>E78+I78</f>
        <v>80791123.287671238</v>
      </c>
      <c r="L78" s="3">
        <f>F78+J78</f>
        <v>0</v>
      </c>
      <c r="M78" s="29">
        <f t="shared" ref="M78:M83" si="7">C78+H78</f>
        <v>80791123.287671238</v>
      </c>
      <c r="N78" s="25"/>
    </row>
    <row r="79" spans="1:14" x14ac:dyDescent="0.25">
      <c r="A79" s="84" t="s">
        <v>960</v>
      </c>
      <c r="B79" s="84" t="s">
        <v>963</v>
      </c>
      <c r="C79" s="85">
        <v>87000000</v>
      </c>
      <c r="D79" s="84" t="s">
        <v>1053</v>
      </c>
      <c r="E79" s="84">
        <v>0</v>
      </c>
      <c r="F79" s="86">
        <f t="shared" ref="F79:F82" si="8">C79-E79</f>
        <v>87000000</v>
      </c>
      <c r="G79" s="84">
        <f>G78-4</f>
        <v>2</v>
      </c>
      <c r="H79" s="85">
        <f t="shared" si="6"/>
        <v>104876.71232876713</v>
      </c>
      <c r="I79" s="85">
        <v>0</v>
      </c>
      <c r="J79" s="85">
        <f>H79</f>
        <v>104876.71232876713</v>
      </c>
      <c r="K79" s="3">
        <f t="shared" ref="K79:K85" si="9">E79+I79</f>
        <v>0</v>
      </c>
      <c r="L79" s="3">
        <f t="shared" ref="L79:L85" si="10">F79+J79</f>
        <v>87104876.712328762</v>
      </c>
      <c r="M79" s="86">
        <f t="shared" si="7"/>
        <v>87104876.712328762</v>
      </c>
      <c r="N79" s="25"/>
    </row>
    <row r="80" spans="1:14" x14ac:dyDescent="0.25">
      <c r="A80" s="11" t="s">
        <v>1069</v>
      </c>
      <c r="B80" s="11" t="s">
        <v>963</v>
      </c>
      <c r="C80" s="11">
        <v>1100000</v>
      </c>
      <c r="D80" s="11" t="s">
        <v>676</v>
      </c>
      <c r="E80" s="3">
        <v>1100000</v>
      </c>
      <c r="F80" s="29">
        <f t="shared" si="8"/>
        <v>0</v>
      </c>
      <c r="G80" s="11">
        <f>G78-5</f>
        <v>1</v>
      </c>
      <c r="H80" s="3">
        <f t="shared" si="6"/>
        <v>663.01369863013701</v>
      </c>
      <c r="I80" s="3">
        <f>H80</f>
        <v>663.01369863013701</v>
      </c>
      <c r="J80" s="3">
        <v>0</v>
      </c>
      <c r="K80" s="3">
        <f t="shared" si="9"/>
        <v>1100663.01369863</v>
      </c>
      <c r="L80" s="3">
        <f t="shared" si="10"/>
        <v>0</v>
      </c>
      <c r="M80" s="29">
        <f t="shared" si="7"/>
        <v>1100663.01369863</v>
      </c>
      <c r="N80" s="25"/>
    </row>
    <row r="81" spans="1:14" x14ac:dyDescent="0.25">
      <c r="A81" s="11"/>
      <c r="B81" s="11"/>
      <c r="C81" s="11"/>
      <c r="D81" s="11"/>
      <c r="E81" s="11"/>
      <c r="F81" s="29">
        <f t="shared" si="8"/>
        <v>0</v>
      </c>
      <c r="G81" s="11"/>
      <c r="H81" s="3">
        <f t="shared" si="6"/>
        <v>0</v>
      </c>
      <c r="I81" s="3"/>
      <c r="J81" s="3"/>
      <c r="K81" s="3">
        <f t="shared" si="9"/>
        <v>0</v>
      </c>
      <c r="L81" s="3">
        <f t="shared" si="10"/>
        <v>0</v>
      </c>
      <c r="M81" s="29">
        <f t="shared" si="7"/>
        <v>0</v>
      </c>
      <c r="N81" s="25"/>
    </row>
    <row r="82" spans="1:14" x14ac:dyDescent="0.25">
      <c r="A82" s="11"/>
      <c r="B82" s="11"/>
      <c r="C82" s="11"/>
      <c r="D82" s="11"/>
      <c r="E82" s="11"/>
      <c r="F82" s="29">
        <f t="shared" si="8"/>
        <v>0</v>
      </c>
      <c r="G82" s="11"/>
      <c r="H82" s="3">
        <f t="shared" si="6"/>
        <v>0</v>
      </c>
      <c r="I82" s="3"/>
      <c r="J82" s="3"/>
      <c r="K82" s="3">
        <f t="shared" si="9"/>
        <v>0</v>
      </c>
      <c r="L82" s="3">
        <f t="shared" si="10"/>
        <v>0</v>
      </c>
      <c r="M82" s="29">
        <f t="shared" si="7"/>
        <v>0</v>
      </c>
      <c r="N82" s="25"/>
    </row>
    <row r="83" spans="1:14" x14ac:dyDescent="0.25">
      <c r="A83" s="11"/>
      <c r="B83" s="11"/>
      <c r="C83" s="11"/>
      <c r="D83" s="11"/>
      <c r="E83" s="11"/>
      <c r="F83" s="11"/>
      <c r="G83" s="11"/>
      <c r="H83" s="3">
        <f t="shared" si="6"/>
        <v>0</v>
      </c>
      <c r="I83" s="3"/>
      <c r="J83" s="3"/>
      <c r="K83" s="3">
        <f t="shared" si="9"/>
        <v>0</v>
      </c>
      <c r="L83" s="3">
        <f t="shared" si="10"/>
        <v>0</v>
      </c>
      <c r="M83" s="29">
        <f t="shared" si="7"/>
        <v>0</v>
      </c>
    </row>
    <row r="84" spans="1:14" x14ac:dyDescent="0.25">
      <c r="A84" s="11"/>
      <c r="B84" s="11"/>
      <c r="C84" s="11"/>
      <c r="D84" s="11"/>
      <c r="E84" s="11"/>
      <c r="F84" s="11"/>
      <c r="G84" s="11"/>
      <c r="H84" s="3">
        <f t="shared" si="6"/>
        <v>0</v>
      </c>
      <c r="I84" s="3"/>
      <c r="J84" s="3"/>
      <c r="K84" s="3">
        <f t="shared" si="9"/>
        <v>0</v>
      </c>
      <c r="L84" s="3">
        <f t="shared" si="10"/>
        <v>0</v>
      </c>
      <c r="M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3">
        <f t="shared" si="9"/>
        <v>0</v>
      </c>
      <c r="L85" s="3">
        <f t="shared" si="10"/>
        <v>0</v>
      </c>
      <c r="M85" s="11"/>
    </row>
    <row r="86" spans="1:14" x14ac:dyDescent="0.25">
      <c r="A86" s="11"/>
      <c r="B86" s="11"/>
      <c r="C86" s="29">
        <f>SUM(C78:C84)</f>
        <v>168600000</v>
      </c>
      <c r="D86" s="11"/>
      <c r="E86" s="3">
        <f>SUM(E78:E84)</f>
        <v>81600000</v>
      </c>
      <c r="F86" s="29">
        <f>SUM(F78:F83)</f>
        <v>87000000</v>
      </c>
      <c r="G86" s="11"/>
      <c r="H86" s="11"/>
      <c r="I86" s="11"/>
      <c r="J86" s="11"/>
      <c r="K86" s="29">
        <f>SUM(K78:K85)</f>
        <v>81891786.301369876</v>
      </c>
      <c r="L86" s="29">
        <f>SUM(L78:L85)</f>
        <v>87104876.712328762</v>
      </c>
      <c r="M86" s="29">
        <f>SUM(M78:M84)</f>
        <v>168996663.01369864</v>
      </c>
    </row>
    <row r="88" spans="1:14" x14ac:dyDescent="0.25">
      <c r="F88" t="s">
        <v>756</v>
      </c>
      <c r="G88" t="s">
        <v>453</v>
      </c>
    </row>
    <row r="89" spans="1:14" x14ac:dyDescent="0.25">
      <c r="E89" t="s">
        <v>1076</v>
      </c>
      <c r="F89" s="7">
        <f>F86+Q55</f>
        <v>87197842.5</v>
      </c>
      <c r="G89" s="7">
        <f>E86+P55</f>
        <v>83199126.5</v>
      </c>
    </row>
    <row r="90" spans="1:14" x14ac:dyDescent="0.25">
      <c r="E90" t="s">
        <v>1079</v>
      </c>
      <c r="F90" s="7">
        <f>F89-L86</f>
        <v>92965.787671238184</v>
      </c>
      <c r="G90" s="7">
        <f>G89-K86</f>
        <v>1307340.1986301243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selection activeCell="I7" sqref="I7"/>
    </sheetView>
  </sheetViews>
  <sheetFormatPr defaultRowHeight="15" x14ac:dyDescent="0.25"/>
  <cols>
    <col min="5" max="5" width="10.85546875" bestFit="1" customWidth="1"/>
    <col min="6" max="6" width="10.85546875" customWidth="1"/>
    <col min="7" max="7" width="17.5703125" bestFit="1" customWidth="1"/>
    <col min="8" max="9" width="12.42578125" bestFit="1" customWidth="1"/>
    <col min="10" max="10" width="11" bestFit="1" customWidth="1"/>
    <col min="15" max="17" width="12.42578125" bestFit="1" customWidth="1"/>
    <col min="19" max="19" width="14.5703125" bestFit="1" customWidth="1"/>
    <col min="21" max="21" width="12.42578125" bestFit="1" customWidth="1"/>
  </cols>
  <sheetData>
    <row r="1" spans="1:22" x14ac:dyDescent="0.25">
      <c r="A1" s="11" t="s">
        <v>961</v>
      </c>
      <c r="B1" s="11" t="s">
        <v>990</v>
      </c>
      <c r="C1" s="11" t="s">
        <v>1006</v>
      </c>
      <c r="D1" s="11" t="s">
        <v>1007</v>
      </c>
      <c r="E1" s="11" t="s">
        <v>1003</v>
      </c>
      <c r="F1" s="11" t="s">
        <v>1045</v>
      </c>
      <c r="G1" s="11" t="s">
        <v>1020</v>
      </c>
      <c r="H1" s="11" t="s">
        <v>969</v>
      </c>
      <c r="I1" s="11" t="s">
        <v>1008</v>
      </c>
      <c r="J1" s="70" t="s">
        <v>1039</v>
      </c>
      <c r="M1">
        <v>96</v>
      </c>
      <c r="N1">
        <v>12</v>
      </c>
      <c r="O1" s="3">
        <v>92000</v>
      </c>
      <c r="P1" s="3">
        <f>O1</f>
        <v>92000</v>
      </c>
      <c r="Q1" s="3">
        <v>0</v>
      </c>
      <c r="S1" t="s">
        <v>984</v>
      </c>
      <c r="T1" t="s">
        <v>1051</v>
      </c>
      <c r="U1" t="s">
        <v>1052</v>
      </c>
    </row>
    <row r="2" spans="1:22" x14ac:dyDescent="0.25">
      <c r="A2" s="11">
        <v>1</v>
      </c>
      <c r="B2" s="11" t="s">
        <v>1049</v>
      </c>
      <c r="C2" s="11">
        <v>17</v>
      </c>
      <c r="D2" s="11">
        <v>6</v>
      </c>
      <c r="E2" s="11" t="s">
        <v>1050</v>
      </c>
      <c r="F2" s="11">
        <f>46-$E$32</f>
        <v>46</v>
      </c>
      <c r="G2" s="3">
        <v>100000</v>
      </c>
      <c r="H2" s="3">
        <v>96000</v>
      </c>
      <c r="I2" s="11"/>
      <c r="J2" s="70"/>
      <c r="M2">
        <v>97</v>
      </c>
      <c r="N2">
        <v>1</v>
      </c>
      <c r="O2">
        <f t="shared" ref="O2:O3" si="0">$V$2</f>
        <v>1466.666666666667</v>
      </c>
      <c r="P2" s="3">
        <f>P1*(1+$S$2/1200)</f>
        <v>93686.666666666672</v>
      </c>
      <c r="Q2" s="3">
        <f>O2+Q1*(1+$S$2/1200)</f>
        <v>1466.666666666667</v>
      </c>
      <c r="S2">
        <v>22</v>
      </c>
      <c r="T2">
        <v>17.600000000000001</v>
      </c>
      <c r="U2" s="3">
        <v>100000</v>
      </c>
      <c r="V2">
        <f>U2*T2/(100*12)</f>
        <v>1466.666666666667</v>
      </c>
    </row>
    <row r="3" spans="1:22" x14ac:dyDescent="0.25">
      <c r="A3" s="11">
        <v>2</v>
      </c>
      <c r="B3" s="11" t="s">
        <v>991</v>
      </c>
      <c r="C3" s="11">
        <v>21</v>
      </c>
      <c r="D3" s="11">
        <v>3</v>
      </c>
      <c r="E3" s="11" t="s">
        <v>1013</v>
      </c>
      <c r="F3" s="11">
        <f>19-$E$32</f>
        <v>19</v>
      </c>
      <c r="G3" s="3">
        <v>100000</v>
      </c>
      <c r="H3" s="3">
        <v>98000</v>
      </c>
      <c r="I3" s="3">
        <v>98100</v>
      </c>
      <c r="J3" s="11"/>
      <c r="M3">
        <v>97</v>
      </c>
      <c r="N3">
        <v>2</v>
      </c>
      <c r="O3">
        <f t="shared" si="0"/>
        <v>1466.666666666667</v>
      </c>
      <c r="P3" s="3">
        <f t="shared" ref="P3:P20" si="1">P2*(1+$S$2/1200)</f>
        <v>95404.255555555559</v>
      </c>
      <c r="Q3" s="3">
        <f t="shared" ref="Q3:Q49" si="2">O3+Q2*(1+$S$2/1200)</f>
        <v>2960.2222222222226</v>
      </c>
    </row>
    <row r="4" spans="1:22" x14ac:dyDescent="0.25">
      <c r="A4" s="11">
        <v>3</v>
      </c>
      <c r="B4" s="11" t="s">
        <v>992</v>
      </c>
      <c r="C4" s="11">
        <v>16</v>
      </c>
      <c r="D4" s="11">
        <v>3</v>
      </c>
      <c r="E4" s="11" t="s">
        <v>1014</v>
      </c>
      <c r="F4" s="11">
        <f>19-$E$32</f>
        <v>19</v>
      </c>
      <c r="G4" s="3">
        <v>100000</v>
      </c>
      <c r="H4" s="3">
        <v>91000</v>
      </c>
      <c r="I4" s="3">
        <v>91500</v>
      </c>
      <c r="J4" s="11"/>
      <c r="M4">
        <v>97</v>
      </c>
      <c r="N4">
        <v>3</v>
      </c>
      <c r="O4">
        <f>$V$2</f>
        <v>1466.666666666667</v>
      </c>
      <c r="P4" s="3">
        <f t="shared" si="1"/>
        <v>97153.333574074073</v>
      </c>
      <c r="Q4" s="3">
        <f t="shared" si="2"/>
        <v>4481.1596296296302</v>
      </c>
    </row>
    <row r="5" spans="1:22" x14ac:dyDescent="0.25">
      <c r="A5" s="11">
        <v>4</v>
      </c>
      <c r="B5" s="23" t="s">
        <v>983</v>
      </c>
      <c r="C5" s="11">
        <v>21</v>
      </c>
      <c r="D5" s="11">
        <v>3</v>
      </c>
      <c r="E5" s="11" t="s">
        <v>1015</v>
      </c>
      <c r="F5" s="11">
        <f>21-$E$32</f>
        <v>21</v>
      </c>
      <c r="G5" s="3">
        <v>100000</v>
      </c>
      <c r="H5" s="3">
        <v>97200</v>
      </c>
      <c r="I5" s="3">
        <v>98100</v>
      </c>
      <c r="J5" s="11"/>
      <c r="M5">
        <v>97</v>
      </c>
      <c r="N5">
        <v>4</v>
      </c>
      <c r="O5">
        <f t="shared" ref="O5:O49" si="3">$V$2</f>
        <v>1466.666666666667</v>
      </c>
      <c r="P5" s="3">
        <f t="shared" si="1"/>
        <v>98934.47802293209</v>
      </c>
      <c r="Q5" s="3">
        <f t="shared" si="2"/>
        <v>6029.9808895061733</v>
      </c>
    </row>
    <row r="6" spans="1:22" x14ac:dyDescent="0.25">
      <c r="A6" s="11">
        <v>5</v>
      </c>
      <c r="B6" s="11" t="s">
        <v>975</v>
      </c>
      <c r="C6" s="11">
        <v>21</v>
      </c>
      <c r="D6" s="11">
        <v>3</v>
      </c>
      <c r="E6" s="11" t="s">
        <v>1016</v>
      </c>
      <c r="F6" s="11">
        <f>24-$E$32</f>
        <v>24</v>
      </c>
      <c r="G6" s="3">
        <v>100000</v>
      </c>
      <c r="H6" s="3">
        <v>99500</v>
      </c>
      <c r="I6" s="3">
        <v>98100</v>
      </c>
      <c r="J6" s="11"/>
      <c r="M6">
        <v>97</v>
      </c>
      <c r="N6">
        <v>5</v>
      </c>
      <c r="O6">
        <f t="shared" si="3"/>
        <v>1466.666666666667</v>
      </c>
      <c r="P6" s="3">
        <f t="shared" si="1"/>
        <v>100748.27678668585</v>
      </c>
      <c r="Q6" s="3">
        <f t="shared" si="2"/>
        <v>7607.1972058137862</v>
      </c>
    </row>
    <row r="7" spans="1:22" x14ac:dyDescent="0.25">
      <c r="A7" s="11">
        <v>6</v>
      </c>
      <c r="B7" s="11" t="s">
        <v>993</v>
      </c>
      <c r="C7" s="11">
        <v>18</v>
      </c>
      <c r="D7" s="11">
        <v>3</v>
      </c>
      <c r="E7" s="11" t="s">
        <v>1048</v>
      </c>
      <c r="F7" s="11">
        <f>24-$E$32</f>
        <v>24</v>
      </c>
      <c r="G7" s="3">
        <v>100000</v>
      </c>
      <c r="H7" s="3">
        <v>93000</v>
      </c>
      <c r="I7" s="3"/>
      <c r="J7" s="11"/>
      <c r="M7">
        <v>97</v>
      </c>
      <c r="N7">
        <v>6</v>
      </c>
      <c r="O7">
        <f t="shared" si="3"/>
        <v>1466.666666666667</v>
      </c>
      <c r="P7" s="3">
        <f t="shared" si="1"/>
        <v>102595.32852777508</v>
      </c>
      <c r="Q7" s="3">
        <f t="shared" si="2"/>
        <v>9213.3291545870379</v>
      </c>
    </row>
    <row r="8" spans="1:22" x14ac:dyDescent="0.25">
      <c r="A8" s="11">
        <v>7</v>
      </c>
      <c r="B8" s="11" t="s">
        <v>994</v>
      </c>
      <c r="C8" s="11">
        <v>16</v>
      </c>
      <c r="D8" s="11">
        <v>3</v>
      </c>
      <c r="E8" s="11" t="s">
        <v>1017</v>
      </c>
      <c r="F8" s="11">
        <f>22-$E$32</f>
        <v>22</v>
      </c>
      <c r="G8" s="3">
        <v>100000</v>
      </c>
      <c r="H8" s="3">
        <v>90000</v>
      </c>
      <c r="I8" s="3"/>
      <c r="J8" s="11"/>
      <c r="M8">
        <v>97</v>
      </c>
      <c r="N8">
        <v>7</v>
      </c>
      <c r="O8">
        <f t="shared" si="3"/>
        <v>1466.666666666667</v>
      </c>
      <c r="P8" s="3">
        <f t="shared" si="1"/>
        <v>104476.24288411763</v>
      </c>
      <c r="Q8" s="3">
        <f t="shared" si="2"/>
        <v>10848.906855754467</v>
      </c>
    </row>
    <row r="9" spans="1:22" x14ac:dyDescent="0.25">
      <c r="A9" s="11">
        <v>8</v>
      </c>
      <c r="B9" s="11" t="s">
        <v>995</v>
      </c>
      <c r="C9" s="11">
        <v>15</v>
      </c>
      <c r="D9" s="11">
        <v>6</v>
      </c>
      <c r="E9" s="11" t="s">
        <v>1018</v>
      </c>
      <c r="F9" s="11">
        <f>33-$E$32</f>
        <v>33</v>
      </c>
      <c r="G9" s="3">
        <v>100000</v>
      </c>
      <c r="H9" s="3">
        <v>82000</v>
      </c>
      <c r="I9" s="3">
        <v>85000</v>
      </c>
      <c r="J9" s="11"/>
      <c r="M9">
        <v>97</v>
      </c>
      <c r="N9">
        <v>8</v>
      </c>
      <c r="O9">
        <f t="shared" si="3"/>
        <v>1466.666666666667</v>
      </c>
      <c r="P9" s="3">
        <f t="shared" si="1"/>
        <v>106391.64067032645</v>
      </c>
      <c r="Q9" s="3">
        <f t="shared" si="2"/>
        <v>12514.470148109966</v>
      </c>
    </row>
    <row r="10" spans="1:22" x14ac:dyDescent="0.25">
      <c r="A10" s="11">
        <v>9</v>
      </c>
      <c r="B10" s="11" t="s">
        <v>966</v>
      </c>
      <c r="C10" s="11">
        <v>0</v>
      </c>
      <c r="D10" s="11">
        <v>0</v>
      </c>
      <c r="E10" s="11" t="s">
        <v>1019</v>
      </c>
      <c r="F10" s="11">
        <f>12-$E$32</f>
        <v>12</v>
      </c>
      <c r="G10" s="3">
        <v>100000</v>
      </c>
      <c r="H10" s="3">
        <v>80200</v>
      </c>
      <c r="I10" s="3"/>
      <c r="J10" s="11"/>
      <c r="M10">
        <v>97</v>
      </c>
      <c r="N10">
        <v>9</v>
      </c>
      <c r="O10">
        <f t="shared" si="3"/>
        <v>1466.666666666667</v>
      </c>
      <c r="P10" s="3">
        <f t="shared" si="1"/>
        <v>108342.15408261577</v>
      </c>
      <c r="Q10" s="3">
        <f t="shared" si="2"/>
        <v>14210.568767491983</v>
      </c>
    </row>
    <row r="11" spans="1:22" x14ac:dyDescent="0.25">
      <c r="A11" s="11">
        <v>10</v>
      </c>
      <c r="B11" s="11" t="s">
        <v>996</v>
      </c>
      <c r="C11" s="11">
        <v>0</v>
      </c>
      <c r="D11" s="11">
        <v>0</v>
      </c>
      <c r="E11" s="11" t="s">
        <v>1029</v>
      </c>
      <c r="F11" s="11">
        <f>5-$E$32</f>
        <v>5</v>
      </c>
      <c r="G11" s="3">
        <v>100000</v>
      </c>
      <c r="H11" s="3">
        <v>92020</v>
      </c>
      <c r="I11" s="3"/>
      <c r="J11" s="11"/>
      <c r="M11">
        <v>97</v>
      </c>
      <c r="N11">
        <v>10</v>
      </c>
      <c r="O11">
        <f t="shared" si="3"/>
        <v>1466.666666666667</v>
      </c>
      <c r="P11" s="3">
        <f t="shared" si="1"/>
        <v>110328.42690746373</v>
      </c>
      <c r="Q11" s="3">
        <f t="shared" si="2"/>
        <v>15937.762528229337</v>
      </c>
    </row>
    <row r="12" spans="1:22" x14ac:dyDescent="0.25">
      <c r="A12" s="11">
        <v>11</v>
      </c>
      <c r="B12" s="11" t="s">
        <v>997</v>
      </c>
      <c r="C12" s="11">
        <v>0</v>
      </c>
      <c r="D12" s="11">
        <v>0</v>
      </c>
      <c r="E12" s="11" t="s">
        <v>1030</v>
      </c>
      <c r="F12" s="11">
        <f>6-$E$32</f>
        <v>6</v>
      </c>
      <c r="G12" s="3">
        <v>100000</v>
      </c>
      <c r="H12" s="3">
        <v>90100</v>
      </c>
      <c r="I12" s="3"/>
      <c r="J12" s="11"/>
      <c r="M12">
        <v>97</v>
      </c>
      <c r="N12">
        <v>11</v>
      </c>
      <c r="O12">
        <f t="shared" si="3"/>
        <v>1466.666666666667</v>
      </c>
      <c r="P12" s="3">
        <f t="shared" si="1"/>
        <v>112351.11473410056</v>
      </c>
      <c r="Q12" s="3">
        <f t="shared" si="2"/>
        <v>17696.621507913544</v>
      </c>
    </row>
    <row r="13" spans="1:22" x14ac:dyDescent="0.25">
      <c r="A13" s="11">
        <v>12</v>
      </c>
      <c r="B13" s="11" t="s">
        <v>998</v>
      </c>
      <c r="C13" s="11">
        <v>0</v>
      </c>
      <c r="D13" s="11">
        <v>0</v>
      </c>
      <c r="E13" s="11" t="s">
        <v>1031</v>
      </c>
      <c r="F13" s="11">
        <f>7-$E$32</f>
        <v>7</v>
      </c>
      <c r="G13" s="3">
        <v>100000</v>
      </c>
      <c r="H13" s="3">
        <v>88600</v>
      </c>
      <c r="I13" s="3"/>
      <c r="J13" s="11"/>
      <c r="M13">
        <v>97</v>
      </c>
      <c r="N13">
        <v>12</v>
      </c>
      <c r="O13">
        <f t="shared" si="3"/>
        <v>1466.666666666667</v>
      </c>
      <c r="P13" s="3">
        <f t="shared" si="1"/>
        <v>114410.88517089239</v>
      </c>
      <c r="Q13" s="3">
        <f t="shared" si="2"/>
        <v>19487.726235558624</v>
      </c>
    </row>
    <row r="14" spans="1:22" x14ac:dyDescent="0.25">
      <c r="A14" s="11">
        <v>13</v>
      </c>
      <c r="B14" s="11" t="s">
        <v>999</v>
      </c>
      <c r="C14" s="11">
        <v>0</v>
      </c>
      <c r="D14" s="11">
        <v>0</v>
      </c>
      <c r="E14" s="11" t="s">
        <v>1032</v>
      </c>
      <c r="F14" s="11">
        <f>20-$E$32</f>
        <v>20</v>
      </c>
      <c r="G14" s="3">
        <v>100000</v>
      </c>
      <c r="H14" s="3">
        <v>71000</v>
      </c>
      <c r="I14" s="3">
        <v>70000</v>
      </c>
      <c r="J14" s="11"/>
      <c r="M14">
        <v>98</v>
      </c>
      <c r="N14">
        <v>1</v>
      </c>
      <c r="O14">
        <f t="shared" si="3"/>
        <v>1466.666666666667</v>
      </c>
      <c r="P14" s="3">
        <f t="shared" si="1"/>
        <v>116508.41806569208</v>
      </c>
      <c r="Q14" s="3">
        <f t="shared" si="2"/>
        <v>21311.667883210532</v>
      </c>
    </row>
    <row r="15" spans="1:22" x14ac:dyDescent="0.25">
      <c r="A15" s="11">
        <v>14</v>
      </c>
      <c r="B15" s="11" t="s">
        <v>1000</v>
      </c>
      <c r="C15" s="11">
        <v>0</v>
      </c>
      <c r="D15" s="11">
        <v>0</v>
      </c>
      <c r="E15" s="11" t="s">
        <v>1033</v>
      </c>
      <c r="F15" s="11">
        <f>9-$E$32</f>
        <v>9</v>
      </c>
      <c r="G15" s="3">
        <v>100000</v>
      </c>
      <c r="H15" s="3">
        <v>84500</v>
      </c>
      <c r="I15" s="3"/>
      <c r="J15" s="11"/>
      <c r="M15">
        <v>98</v>
      </c>
      <c r="N15">
        <v>2</v>
      </c>
      <c r="O15">
        <f t="shared" si="3"/>
        <v>1466.666666666667</v>
      </c>
      <c r="P15" s="3">
        <f t="shared" si="1"/>
        <v>118644.40573022976</v>
      </c>
      <c r="Q15" s="3">
        <f t="shared" si="2"/>
        <v>23169.048461069393</v>
      </c>
    </row>
    <row r="16" spans="1:22" x14ac:dyDescent="0.25">
      <c r="A16" s="11">
        <v>15</v>
      </c>
      <c r="B16" s="11" t="s">
        <v>1001</v>
      </c>
      <c r="C16" s="11">
        <v>0</v>
      </c>
      <c r="D16" s="11">
        <v>0</v>
      </c>
      <c r="E16" s="11" t="s">
        <v>1034</v>
      </c>
      <c r="F16" s="11">
        <f>19-$E$32</f>
        <v>19</v>
      </c>
      <c r="G16" s="3">
        <v>100000</v>
      </c>
      <c r="H16" s="3">
        <v>71000</v>
      </c>
      <c r="I16" s="3"/>
      <c r="J16" s="11"/>
      <c r="M16">
        <v>98</v>
      </c>
      <c r="N16">
        <v>3</v>
      </c>
      <c r="O16">
        <f t="shared" si="3"/>
        <v>1466.666666666667</v>
      </c>
      <c r="P16" s="3">
        <f t="shared" si="1"/>
        <v>120819.55316861731</v>
      </c>
      <c r="Q16" s="3">
        <f t="shared" si="2"/>
        <v>25060.481016188998</v>
      </c>
    </row>
    <row r="17" spans="1:17" x14ac:dyDescent="0.25">
      <c r="A17" s="11">
        <v>16</v>
      </c>
      <c r="B17" s="11" t="s">
        <v>1002</v>
      </c>
      <c r="C17" s="11">
        <v>0</v>
      </c>
      <c r="D17" s="11">
        <v>0</v>
      </c>
      <c r="E17" s="11" t="s">
        <v>1036</v>
      </c>
      <c r="F17" s="11">
        <f>10-$E$32</f>
        <v>10</v>
      </c>
      <c r="G17" s="3">
        <v>100000</v>
      </c>
      <c r="H17" s="3">
        <v>84000</v>
      </c>
      <c r="I17" s="3"/>
      <c r="J17" s="11"/>
      <c r="M17">
        <v>98</v>
      </c>
      <c r="N17">
        <v>4</v>
      </c>
      <c r="O17">
        <f t="shared" si="3"/>
        <v>1466.666666666667</v>
      </c>
      <c r="P17" s="3">
        <f t="shared" si="1"/>
        <v>123034.57831004195</v>
      </c>
      <c r="Q17" s="3">
        <f t="shared" si="2"/>
        <v>26986.589834819129</v>
      </c>
    </row>
    <row r="18" spans="1:17" x14ac:dyDescent="0.25">
      <c r="A18" s="11">
        <v>17</v>
      </c>
      <c r="B18" s="11" t="s">
        <v>1021</v>
      </c>
      <c r="C18" s="11">
        <v>0</v>
      </c>
      <c r="D18" s="11">
        <v>0</v>
      </c>
      <c r="E18" s="11" t="s">
        <v>1035</v>
      </c>
      <c r="F18" s="11">
        <f>16-$E$32</f>
        <v>16</v>
      </c>
      <c r="G18" s="3">
        <v>100000</v>
      </c>
      <c r="H18" s="3">
        <v>75500</v>
      </c>
      <c r="I18" s="3"/>
      <c r="J18" s="11"/>
      <c r="M18">
        <v>98</v>
      </c>
      <c r="N18">
        <v>5</v>
      </c>
      <c r="O18">
        <f t="shared" si="3"/>
        <v>1466.666666666667</v>
      </c>
      <c r="P18" s="3">
        <f t="shared" si="1"/>
        <v>125290.21224572606</v>
      </c>
      <c r="Q18" s="3">
        <f t="shared" si="2"/>
        <v>28948.010648457483</v>
      </c>
    </row>
    <row r="19" spans="1:17" x14ac:dyDescent="0.25">
      <c r="A19" s="11">
        <v>18</v>
      </c>
      <c r="B19" s="11" t="s">
        <v>1022</v>
      </c>
      <c r="C19" s="11">
        <v>0</v>
      </c>
      <c r="D19" s="11">
        <v>0</v>
      </c>
      <c r="E19" s="11" t="s">
        <v>1035</v>
      </c>
      <c r="F19" s="11">
        <f>16-$E$32</f>
        <v>16</v>
      </c>
      <c r="G19" s="3">
        <v>100000</v>
      </c>
      <c r="H19" s="3">
        <v>75500</v>
      </c>
      <c r="I19" s="3"/>
      <c r="J19" s="11"/>
      <c r="M19">
        <v>98</v>
      </c>
      <c r="N19">
        <v>6</v>
      </c>
      <c r="O19">
        <f t="shared" si="3"/>
        <v>1466.666666666667</v>
      </c>
      <c r="P19" s="3">
        <f t="shared" si="1"/>
        <v>127587.19947023103</v>
      </c>
      <c r="Q19" s="3">
        <f t="shared" si="2"/>
        <v>30945.390843679204</v>
      </c>
    </row>
    <row r="20" spans="1:17" x14ac:dyDescent="0.25">
      <c r="A20" s="11">
        <v>19</v>
      </c>
      <c r="B20" s="11" t="s">
        <v>1023</v>
      </c>
      <c r="C20" s="11">
        <v>0</v>
      </c>
      <c r="D20" s="11">
        <v>0</v>
      </c>
      <c r="E20" s="11" t="s">
        <v>1041</v>
      </c>
      <c r="F20" s="11">
        <f>21-$E$32</f>
        <v>21</v>
      </c>
      <c r="G20" s="3">
        <v>100000</v>
      </c>
      <c r="H20" s="3">
        <v>70000</v>
      </c>
      <c r="I20" s="3">
        <v>68000</v>
      </c>
      <c r="J20" s="11"/>
      <c r="M20">
        <v>98</v>
      </c>
      <c r="N20" s="9">
        <v>7</v>
      </c>
      <c r="O20">
        <f t="shared" si="3"/>
        <v>1466.666666666667</v>
      </c>
      <c r="P20" s="3">
        <f t="shared" si="1"/>
        <v>129926.29812718526</v>
      </c>
      <c r="Q20" s="3">
        <f t="shared" si="2"/>
        <v>32979.38967581332</v>
      </c>
    </row>
    <row r="21" spans="1:17" x14ac:dyDescent="0.25">
      <c r="A21" s="11">
        <v>20</v>
      </c>
      <c r="B21" s="11" t="s">
        <v>1024</v>
      </c>
      <c r="C21" s="11">
        <v>0</v>
      </c>
      <c r="D21" s="11">
        <v>0</v>
      </c>
      <c r="E21" s="11" t="s">
        <v>1042</v>
      </c>
      <c r="F21" s="11">
        <f>9-$E$32</f>
        <v>9</v>
      </c>
      <c r="G21" s="3">
        <v>100000</v>
      </c>
      <c r="H21" s="3">
        <v>86600</v>
      </c>
      <c r="I21" s="3">
        <v>85000</v>
      </c>
      <c r="J21" s="11"/>
      <c r="K21" t="s">
        <v>25</v>
      </c>
      <c r="M21">
        <v>98</v>
      </c>
      <c r="N21">
        <v>8</v>
      </c>
      <c r="O21">
        <f t="shared" si="3"/>
        <v>1466.666666666667</v>
      </c>
      <c r="P21" s="3">
        <f>P20*(1+$S$2/1200)</f>
        <v>132308.28025951699</v>
      </c>
      <c r="Q21" s="3">
        <f t="shared" si="2"/>
        <v>35050.678486536563</v>
      </c>
    </row>
    <row r="22" spans="1:17" x14ac:dyDescent="0.25">
      <c r="A22" s="11">
        <v>21</v>
      </c>
      <c r="B22" s="11" t="s">
        <v>1025</v>
      </c>
      <c r="C22" s="11">
        <v>0</v>
      </c>
      <c r="D22" s="11">
        <v>0</v>
      </c>
      <c r="E22" s="11" t="s">
        <v>1043</v>
      </c>
      <c r="F22" s="11">
        <f>23-$E$32</f>
        <v>23</v>
      </c>
      <c r="G22" s="3">
        <v>100000</v>
      </c>
      <c r="H22" s="3">
        <v>68000</v>
      </c>
      <c r="I22" s="3">
        <v>66000</v>
      </c>
      <c r="J22" s="11"/>
      <c r="M22">
        <v>98</v>
      </c>
      <c r="N22" s="9">
        <v>9</v>
      </c>
      <c r="O22">
        <f t="shared" si="3"/>
        <v>1466.666666666667</v>
      </c>
      <c r="P22" s="3">
        <f t="shared" ref="P22:P49" si="4">P21*(1+$S$2/1200)</f>
        <v>134733.93206427479</v>
      </c>
      <c r="Q22" s="3">
        <f t="shared" si="2"/>
        <v>37159.940925456394</v>
      </c>
    </row>
    <row r="23" spans="1:17" x14ac:dyDescent="0.25">
      <c r="A23" s="11">
        <v>22</v>
      </c>
      <c r="B23" s="11" t="s">
        <v>1026</v>
      </c>
      <c r="C23" s="11">
        <v>0</v>
      </c>
      <c r="D23" s="11">
        <v>0</v>
      </c>
      <c r="E23" s="11" t="s">
        <v>1044</v>
      </c>
      <c r="F23" s="11">
        <f>22-$E$32</f>
        <v>22</v>
      </c>
      <c r="G23" s="3">
        <v>100000</v>
      </c>
      <c r="H23" s="3">
        <v>69000</v>
      </c>
      <c r="I23" s="3"/>
      <c r="J23" s="11"/>
      <c r="M23">
        <v>98</v>
      </c>
      <c r="N23">
        <v>10</v>
      </c>
      <c r="O23">
        <f t="shared" si="3"/>
        <v>1466.666666666667</v>
      </c>
      <c r="P23" s="3">
        <f t="shared" si="4"/>
        <v>137204.05415211982</v>
      </c>
      <c r="Q23" s="3">
        <f t="shared" si="2"/>
        <v>39307.873175756424</v>
      </c>
    </row>
    <row r="24" spans="1:17" x14ac:dyDescent="0.25">
      <c r="A24" s="11">
        <v>23</v>
      </c>
      <c r="B24" s="11" t="s">
        <v>1027</v>
      </c>
      <c r="C24" s="11">
        <v>0</v>
      </c>
      <c r="D24" s="11">
        <v>0</v>
      </c>
      <c r="E24" s="11" t="s">
        <v>1044</v>
      </c>
      <c r="F24" s="11">
        <f>22-$E$32</f>
        <v>22</v>
      </c>
      <c r="G24" s="3">
        <v>100000</v>
      </c>
      <c r="H24" s="3">
        <v>69000</v>
      </c>
      <c r="I24" s="3"/>
      <c r="J24" s="11"/>
      <c r="M24">
        <v>98</v>
      </c>
      <c r="N24">
        <v>11</v>
      </c>
      <c r="O24">
        <f t="shared" si="3"/>
        <v>1466.666666666667</v>
      </c>
      <c r="P24" s="3">
        <f t="shared" si="4"/>
        <v>139719.46181157534</v>
      </c>
      <c r="Q24" s="3">
        <f t="shared" si="2"/>
        <v>41495.184183978621</v>
      </c>
    </row>
    <row r="25" spans="1:17" x14ac:dyDescent="0.25">
      <c r="A25" s="11">
        <v>24</v>
      </c>
      <c r="B25" s="11" t="s">
        <v>1028</v>
      </c>
      <c r="C25" s="11">
        <v>0</v>
      </c>
      <c r="D25" s="11">
        <v>0</v>
      </c>
      <c r="E25" s="11" t="s">
        <v>1032</v>
      </c>
      <c r="F25" s="11">
        <f>20-$E$32</f>
        <v>20</v>
      </c>
      <c r="G25" s="3">
        <v>100000</v>
      </c>
      <c r="H25" s="3">
        <v>70500</v>
      </c>
      <c r="I25" s="3"/>
      <c r="J25" s="11"/>
      <c r="M25">
        <v>98</v>
      </c>
      <c r="N25">
        <v>12</v>
      </c>
      <c r="O25">
        <f t="shared" si="3"/>
        <v>1466.666666666667</v>
      </c>
      <c r="P25" s="3">
        <f t="shared" si="4"/>
        <v>142280.98527812088</v>
      </c>
      <c r="Q25" s="3">
        <f t="shared" si="2"/>
        <v>43722.595894018224</v>
      </c>
    </row>
    <row r="26" spans="1:17" x14ac:dyDescent="0.25">
      <c r="A26" s="11">
        <v>25</v>
      </c>
      <c r="B26" s="11" t="s">
        <v>1004</v>
      </c>
      <c r="C26" s="11">
        <v>20</v>
      </c>
      <c r="D26" s="11">
        <v>6</v>
      </c>
      <c r="E26" s="11" t="s">
        <v>1010</v>
      </c>
      <c r="F26" s="11">
        <f>42-$E$32</f>
        <v>42</v>
      </c>
      <c r="G26" s="3">
        <v>100000</v>
      </c>
      <c r="H26" s="3">
        <v>100000</v>
      </c>
      <c r="I26" s="3"/>
      <c r="J26" s="11"/>
      <c r="M26">
        <v>99</v>
      </c>
      <c r="N26">
        <v>1</v>
      </c>
      <c r="O26">
        <f t="shared" si="3"/>
        <v>1466.666666666667</v>
      </c>
      <c r="P26" s="3">
        <f t="shared" si="4"/>
        <v>144889.47000821977</v>
      </c>
      <c r="Q26" s="3">
        <f t="shared" si="2"/>
        <v>45990.843485408557</v>
      </c>
    </row>
    <row r="27" spans="1:17" x14ac:dyDescent="0.25">
      <c r="A27" s="11">
        <v>26</v>
      </c>
      <c r="B27" s="11" t="s">
        <v>1005</v>
      </c>
      <c r="C27" s="11">
        <v>18</v>
      </c>
      <c r="D27" s="11">
        <v>6</v>
      </c>
      <c r="E27" s="11" t="s">
        <v>1009</v>
      </c>
      <c r="F27" s="11">
        <f>42-$E$32</f>
        <v>42</v>
      </c>
      <c r="G27" s="3">
        <v>100000</v>
      </c>
      <c r="H27" s="3"/>
      <c r="I27" s="3"/>
      <c r="J27" s="11"/>
      <c r="M27">
        <v>99</v>
      </c>
      <c r="N27">
        <v>2</v>
      </c>
      <c r="O27">
        <f t="shared" si="3"/>
        <v>1466.666666666667</v>
      </c>
      <c r="P27" s="3">
        <f t="shared" si="4"/>
        <v>147545.77695837046</v>
      </c>
      <c r="Q27" s="3">
        <f t="shared" si="2"/>
        <v>48300.675615974375</v>
      </c>
    </row>
    <row r="28" spans="1:17" x14ac:dyDescent="0.25">
      <c r="A28" s="11">
        <v>27</v>
      </c>
      <c r="B28" s="11" t="s">
        <v>1011</v>
      </c>
      <c r="C28" s="11">
        <v>22</v>
      </c>
      <c r="D28" s="11">
        <v>3</v>
      </c>
      <c r="E28" s="11" t="s">
        <v>1012</v>
      </c>
      <c r="F28" s="11">
        <f>12-$E$32</f>
        <v>12</v>
      </c>
      <c r="G28" s="3">
        <v>100000</v>
      </c>
      <c r="H28" s="3">
        <v>103000</v>
      </c>
      <c r="I28" s="3"/>
      <c r="J28" s="11"/>
      <c r="M28">
        <v>99</v>
      </c>
      <c r="N28">
        <v>3</v>
      </c>
      <c r="O28">
        <f t="shared" si="3"/>
        <v>1466.666666666667</v>
      </c>
      <c r="P28" s="3">
        <f t="shared" si="4"/>
        <v>150250.78286927391</v>
      </c>
      <c r="Q28" s="3">
        <f t="shared" si="2"/>
        <v>50652.854668933898</v>
      </c>
    </row>
    <row r="29" spans="1:17" x14ac:dyDescent="0.25">
      <c r="A29" s="11">
        <v>28</v>
      </c>
      <c r="B29" s="11" t="s">
        <v>1037</v>
      </c>
      <c r="C29" s="11">
        <v>21</v>
      </c>
      <c r="D29" s="11">
        <v>1</v>
      </c>
      <c r="E29" s="11" t="s">
        <v>1038</v>
      </c>
      <c r="F29" s="11">
        <f>26-$E$32</f>
        <v>26</v>
      </c>
      <c r="G29" s="3">
        <v>100000</v>
      </c>
      <c r="H29" s="3">
        <v>104000</v>
      </c>
      <c r="I29" s="3">
        <v>100000</v>
      </c>
      <c r="J29" s="11" t="s">
        <v>1040</v>
      </c>
      <c r="M29">
        <v>99</v>
      </c>
      <c r="N29">
        <v>4</v>
      </c>
      <c r="O29">
        <f t="shared" si="3"/>
        <v>1466.666666666667</v>
      </c>
      <c r="P29" s="3">
        <f t="shared" si="4"/>
        <v>153005.38055521061</v>
      </c>
      <c r="Q29" s="3">
        <f t="shared" si="2"/>
        <v>53048.157004531015</v>
      </c>
    </row>
    <row r="30" spans="1:17" x14ac:dyDescent="0.25">
      <c r="M30">
        <v>99</v>
      </c>
      <c r="N30">
        <v>5</v>
      </c>
      <c r="O30">
        <f t="shared" si="3"/>
        <v>1466.666666666667</v>
      </c>
      <c r="P30" s="3">
        <f t="shared" si="4"/>
        <v>155810.47919872281</v>
      </c>
      <c r="Q30" s="3">
        <f t="shared" si="2"/>
        <v>55487.373216280743</v>
      </c>
    </row>
    <row r="31" spans="1:17" x14ac:dyDescent="0.25">
      <c r="M31">
        <v>99</v>
      </c>
      <c r="N31">
        <v>6</v>
      </c>
      <c r="O31">
        <f t="shared" si="3"/>
        <v>1466.666666666667</v>
      </c>
      <c r="P31" s="3">
        <f t="shared" si="4"/>
        <v>158667.00465069938</v>
      </c>
      <c r="Q31" s="3">
        <f t="shared" si="2"/>
        <v>57971.308391912549</v>
      </c>
    </row>
    <row r="32" spans="1:17" x14ac:dyDescent="0.25">
      <c r="C32" t="s">
        <v>1046</v>
      </c>
      <c r="D32" t="s">
        <v>1047</v>
      </c>
      <c r="E32">
        <v>0</v>
      </c>
      <c r="M32">
        <v>99</v>
      </c>
      <c r="N32">
        <v>7</v>
      </c>
      <c r="O32">
        <f t="shared" si="3"/>
        <v>1466.666666666667</v>
      </c>
      <c r="P32" s="3">
        <f t="shared" si="4"/>
        <v>161575.89973596222</v>
      </c>
      <c r="Q32" s="3">
        <f t="shared" si="2"/>
        <v>60500.782379097611</v>
      </c>
    </row>
    <row r="33" spans="13:17" x14ac:dyDescent="0.25">
      <c r="M33">
        <v>99</v>
      </c>
      <c r="N33">
        <v>8</v>
      </c>
      <c r="O33">
        <f t="shared" si="3"/>
        <v>1466.666666666667</v>
      </c>
      <c r="P33" s="3">
        <f t="shared" si="4"/>
        <v>164538.12456445486</v>
      </c>
      <c r="Q33" s="3">
        <f t="shared" si="2"/>
        <v>63076.630056047732</v>
      </c>
    </row>
    <row r="34" spans="13:17" x14ac:dyDescent="0.25">
      <c r="M34">
        <v>99</v>
      </c>
      <c r="N34" s="9">
        <v>9</v>
      </c>
      <c r="O34">
        <f t="shared" si="3"/>
        <v>1466.666666666667</v>
      </c>
      <c r="P34" s="3">
        <f t="shared" si="4"/>
        <v>167554.65684813654</v>
      </c>
      <c r="Q34" s="3">
        <f t="shared" si="2"/>
        <v>65699.701607075272</v>
      </c>
    </row>
    <row r="35" spans="13:17" x14ac:dyDescent="0.25">
      <c r="M35">
        <v>99</v>
      </c>
      <c r="N35">
        <v>10</v>
      </c>
      <c r="O35">
        <f t="shared" si="3"/>
        <v>1466.666666666667</v>
      </c>
      <c r="P35" s="3">
        <f t="shared" si="4"/>
        <v>170626.49222368569</v>
      </c>
      <c r="Q35" s="3">
        <f t="shared" si="2"/>
        <v>68370.862803204989</v>
      </c>
    </row>
    <row r="36" spans="13:17" x14ac:dyDescent="0.25">
      <c r="M36">
        <v>99</v>
      </c>
      <c r="N36">
        <v>11</v>
      </c>
      <c r="O36">
        <f t="shared" si="3"/>
        <v>1466.666666666667</v>
      </c>
      <c r="P36" s="3">
        <f t="shared" si="4"/>
        <v>173754.64458111994</v>
      </c>
      <c r="Q36" s="3">
        <f t="shared" si="2"/>
        <v>71090.995287930418</v>
      </c>
    </row>
    <row r="37" spans="13:17" x14ac:dyDescent="0.25">
      <c r="M37">
        <v>99</v>
      </c>
      <c r="N37">
        <v>12</v>
      </c>
      <c r="O37">
        <f t="shared" si="3"/>
        <v>1466.666666666667</v>
      </c>
      <c r="P37" s="3">
        <f t="shared" si="4"/>
        <v>176940.14639844047</v>
      </c>
      <c r="Q37" s="3">
        <f t="shared" si="2"/>
        <v>73860.996868209142</v>
      </c>
    </row>
    <row r="38" spans="13:17" x14ac:dyDescent="0.25">
      <c r="M38">
        <v>100</v>
      </c>
      <c r="N38">
        <v>1</v>
      </c>
      <c r="O38">
        <f t="shared" si="3"/>
        <v>1466.666666666667</v>
      </c>
      <c r="P38" s="3">
        <f t="shared" si="4"/>
        <v>180184.04908241186</v>
      </c>
      <c r="Q38" s="3">
        <f t="shared" si="2"/>
        <v>76681.781810792978</v>
      </c>
    </row>
    <row r="39" spans="13:17" x14ac:dyDescent="0.25">
      <c r="M39">
        <v>100</v>
      </c>
      <c r="N39">
        <v>2</v>
      </c>
      <c r="O39">
        <f t="shared" si="3"/>
        <v>1466.666666666667</v>
      </c>
      <c r="P39" s="3">
        <f t="shared" si="4"/>
        <v>183487.4233155894</v>
      </c>
      <c r="Q39" s="3">
        <f t="shared" si="2"/>
        <v>79554.281143990855</v>
      </c>
    </row>
    <row r="40" spans="13:17" x14ac:dyDescent="0.25">
      <c r="M40">
        <v>100</v>
      </c>
      <c r="N40">
        <v>3</v>
      </c>
      <c r="O40">
        <f t="shared" si="3"/>
        <v>1466.666666666667</v>
      </c>
      <c r="P40" s="3">
        <f t="shared" si="4"/>
        <v>186851.35940970853</v>
      </c>
      <c r="Q40" s="3">
        <f t="shared" si="2"/>
        <v>82479.442964964022</v>
      </c>
    </row>
    <row r="41" spans="13:17" x14ac:dyDescent="0.25">
      <c r="M41">
        <v>100</v>
      </c>
      <c r="N41">
        <v>4</v>
      </c>
      <c r="O41">
        <f t="shared" si="3"/>
        <v>1466.666666666667</v>
      </c>
      <c r="P41" s="3">
        <f t="shared" si="4"/>
        <v>190276.96766555318</v>
      </c>
      <c r="Q41" s="3">
        <f t="shared" si="2"/>
        <v>85458.232752655036</v>
      </c>
    </row>
    <row r="42" spans="13:17" x14ac:dyDescent="0.25">
      <c r="M42">
        <v>100</v>
      </c>
      <c r="N42">
        <v>5</v>
      </c>
      <c r="O42">
        <f t="shared" si="3"/>
        <v>1466.666666666667</v>
      </c>
      <c r="P42" s="3">
        <f t="shared" si="4"/>
        <v>193765.37873942166</v>
      </c>
      <c r="Q42" s="3">
        <f t="shared" si="2"/>
        <v>88491.633686453715</v>
      </c>
    </row>
    <row r="43" spans="13:17" x14ac:dyDescent="0.25">
      <c r="M43">
        <v>100</v>
      </c>
      <c r="N43" s="9">
        <v>6</v>
      </c>
      <c r="O43">
        <f t="shared" si="3"/>
        <v>1466.666666666667</v>
      </c>
      <c r="P43" s="3">
        <f t="shared" si="4"/>
        <v>197317.74401631104</v>
      </c>
      <c r="Q43" s="3">
        <f t="shared" si="2"/>
        <v>91580.646970705377</v>
      </c>
    </row>
    <row r="44" spans="13:17" x14ac:dyDescent="0.25">
      <c r="M44">
        <v>100</v>
      </c>
      <c r="N44">
        <v>7</v>
      </c>
      <c r="O44">
        <f t="shared" si="3"/>
        <v>1466.666666666667</v>
      </c>
      <c r="P44" s="3">
        <f t="shared" si="4"/>
        <v>200935.23598994341</v>
      </c>
      <c r="Q44" s="3">
        <f t="shared" si="2"/>
        <v>94726.292165168314</v>
      </c>
    </row>
    <row r="45" spans="13:17" x14ac:dyDescent="0.25">
      <c r="M45">
        <v>100</v>
      </c>
      <c r="N45">
        <v>8</v>
      </c>
      <c r="O45">
        <f t="shared" si="3"/>
        <v>1466.666666666667</v>
      </c>
      <c r="P45" s="3">
        <f t="shared" si="4"/>
        <v>204619.04864975903</v>
      </c>
      <c r="Q45" s="3">
        <f t="shared" si="2"/>
        <v>97929.607521529731</v>
      </c>
    </row>
    <row r="46" spans="13:17" x14ac:dyDescent="0.25">
      <c r="M46">
        <v>100</v>
      </c>
      <c r="N46">
        <v>9</v>
      </c>
      <c r="O46">
        <f t="shared" si="3"/>
        <v>1466.666666666667</v>
      </c>
      <c r="P46" s="3">
        <f t="shared" si="4"/>
        <v>208370.39787500462</v>
      </c>
      <c r="Q46" s="3">
        <f t="shared" si="2"/>
        <v>101191.65032609111</v>
      </c>
    </row>
    <row r="47" spans="13:17" x14ac:dyDescent="0.25">
      <c r="M47">
        <v>100</v>
      </c>
      <c r="N47">
        <v>10</v>
      </c>
      <c r="O47">
        <f t="shared" si="3"/>
        <v>1466.666666666667</v>
      </c>
      <c r="P47" s="3">
        <f t="shared" si="4"/>
        <v>212190.52183604636</v>
      </c>
      <c r="Q47" s="3">
        <f t="shared" si="2"/>
        <v>104513.49724873612</v>
      </c>
    </row>
    <row r="48" spans="13:17" x14ac:dyDescent="0.25">
      <c r="M48">
        <v>100</v>
      </c>
      <c r="N48">
        <v>11</v>
      </c>
      <c r="O48">
        <f t="shared" si="3"/>
        <v>1466.666666666667</v>
      </c>
      <c r="P48" s="3">
        <f t="shared" si="4"/>
        <v>216080.68140304054</v>
      </c>
      <c r="Q48" s="3">
        <f t="shared" si="2"/>
        <v>107896.24469829629</v>
      </c>
    </row>
    <row r="49" spans="13:17" x14ac:dyDescent="0.25">
      <c r="M49">
        <v>100</v>
      </c>
      <c r="N49">
        <v>12</v>
      </c>
      <c r="O49">
        <f t="shared" si="3"/>
        <v>1466.666666666667</v>
      </c>
      <c r="P49" s="3">
        <f t="shared" si="4"/>
        <v>220042.16056209628</v>
      </c>
      <c r="Q49" s="3">
        <f t="shared" si="2"/>
        <v>111341.00918443172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E84" sqref="E84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404</v>
      </c>
      <c r="F2" s="11">
        <f>IF(B2&gt;0,1,0)</f>
        <v>1</v>
      </c>
      <c r="G2" s="11">
        <f>B2*(E2-F2)</f>
        <v>20150000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359</v>
      </c>
      <c r="F3" s="11">
        <f t="shared" ref="F3:F69" si="1">IF(B3&gt;0,1,0)</f>
        <v>1</v>
      </c>
      <c r="G3" s="11">
        <f t="shared" ref="G3:G69" si="2">B3*(E3-F3)</f>
        <v>240934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327</v>
      </c>
      <c r="F4" s="11">
        <f t="shared" si="1"/>
        <v>1</v>
      </c>
      <c r="G4" s="11">
        <f t="shared" si="2"/>
        <v>163978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296</v>
      </c>
      <c r="F5" s="11">
        <f t="shared" si="1"/>
        <v>1</v>
      </c>
      <c r="G5" s="11">
        <f t="shared" si="2"/>
        <v>141010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265</v>
      </c>
      <c r="F6" s="11">
        <f t="shared" si="1"/>
        <v>1</v>
      </c>
      <c r="G6" s="11">
        <f t="shared" si="2"/>
        <v>127248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234</v>
      </c>
      <c r="F7" s="11">
        <f t="shared" si="1"/>
        <v>1</v>
      </c>
      <c r="G7" s="11">
        <f t="shared" si="2"/>
        <v>113471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203</v>
      </c>
      <c r="F8" s="11">
        <f t="shared" si="1"/>
        <v>1</v>
      </c>
      <c r="G8" s="11">
        <f t="shared" si="2"/>
        <v>99182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172</v>
      </c>
      <c r="F9" s="11">
        <f t="shared" si="1"/>
        <v>1</v>
      </c>
      <c r="G9" s="11">
        <f t="shared" si="2"/>
        <v>84816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142</v>
      </c>
      <c r="F10" s="11">
        <f t="shared" si="1"/>
        <v>1</v>
      </c>
      <c r="G10" s="11">
        <f t="shared" si="2"/>
        <v>62040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112</v>
      </c>
      <c r="F11" s="11">
        <f t="shared" si="1"/>
        <v>1</v>
      </c>
      <c r="G11" s="11">
        <f t="shared" si="2"/>
        <v>49284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87</v>
      </c>
      <c r="F12" s="11">
        <f t="shared" si="1"/>
        <v>0</v>
      </c>
      <c r="G12" s="11">
        <f t="shared" si="2"/>
        <v>-870000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83</v>
      </c>
      <c r="F13" s="11">
        <f t="shared" si="1"/>
        <v>1</v>
      </c>
      <c r="G13" s="11">
        <f t="shared" si="2"/>
        <v>35752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80</v>
      </c>
      <c r="F14" s="11">
        <f t="shared" si="1"/>
        <v>1</v>
      </c>
      <c r="G14" s="11">
        <f t="shared" si="2"/>
        <v>79000000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77</v>
      </c>
      <c r="F15" s="11">
        <f t="shared" si="1"/>
        <v>0</v>
      </c>
      <c r="G15" s="11">
        <f t="shared" si="2"/>
        <v>-7315000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77</v>
      </c>
      <c r="F16" s="11">
        <f t="shared" si="1"/>
        <v>0</v>
      </c>
      <c r="G16" s="11">
        <f t="shared" si="2"/>
        <v>-5436200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77</v>
      </c>
      <c r="F17" s="11">
        <f t="shared" si="1"/>
        <v>0</v>
      </c>
      <c r="G17" s="11">
        <f t="shared" si="2"/>
        <v>-34652310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75</v>
      </c>
      <c r="F18" s="11">
        <f t="shared" si="1"/>
        <v>0</v>
      </c>
      <c r="G18" s="11">
        <f t="shared" si="2"/>
        <v>-8178525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74</v>
      </c>
      <c r="F19" s="11">
        <f t="shared" si="1"/>
        <v>0</v>
      </c>
      <c r="G19" s="11">
        <f t="shared" si="2"/>
        <v>-1924000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71</v>
      </c>
      <c r="F20" s="11">
        <f t="shared" si="1"/>
        <v>0</v>
      </c>
      <c r="G20" s="11">
        <f t="shared" si="2"/>
        <v>-5680000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69</v>
      </c>
      <c r="F21" s="11">
        <f t="shared" si="1"/>
        <v>0</v>
      </c>
      <c r="G21" s="11">
        <f t="shared" si="2"/>
        <v>-6555000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67</v>
      </c>
      <c r="F22" s="11">
        <f t="shared" si="1"/>
        <v>0</v>
      </c>
      <c r="G22" s="11">
        <f t="shared" si="2"/>
        <v>-1049890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66</v>
      </c>
      <c r="F23" s="11">
        <f t="shared" si="1"/>
        <v>0</v>
      </c>
      <c r="G23" s="11">
        <f t="shared" si="2"/>
        <v>-6303000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65</v>
      </c>
      <c r="F24" s="11">
        <f t="shared" si="1"/>
        <v>1</v>
      </c>
      <c r="G24" s="11">
        <f t="shared" si="2"/>
        <v>128000000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65</v>
      </c>
      <c r="F25" s="11">
        <f t="shared" si="1"/>
        <v>0</v>
      </c>
      <c r="G25" s="11">
        <f t="shared" si="2"/>
        <v>-8544250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59</v>
      </c>
      <c r="F26" s="11">
        <f t="shared" si="1"/>
        <v>0</v>
      </c>
      <c r="G26" s="11">
        <f t="shared" si="2"/>
        <v>-892080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57</v>
      </c>
      <c r="F27" s="11">
        <f t="shared" si="1"/>
        <v>0</v>
      </c>
      <c r="G27" s="11">
        <f t="shared" si="2"/>
        <v>-11400000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56</v>
      </c>
      <c r="F28" s="11">
        <f t="shared" si="1"/>
        <v>0</v>
      </c>
      <c r="G28" s="11">
        <f t="shared" si="2"/>
        <v>-10108000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53</v>
      </c>
      <c r="F29" s="11">
        <f t="shared" si="1"/>
        <v>1</v>
      </c>
      <c r="G29" s="11">
        <f t="shared" si="2"/>
        <v>370084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49</v>
      </c>
      <c r="F30" s="11">
        <f t="shared" si="1"/>
        <v>0</v>
      </c>
      <c r="G30" s="11">
        <f t="shared" si="2"/>
        <v>-490000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45</v>
      </c>
      <c r="F31" s="11">
        <f t="shared" si="1"/>
        <v>0</v>
      </c>
      <c r="G31" s="11">
        <f t="shared" si="2"/>
        <v>-2117385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39</v>
      </c>
      <c r="F32" s="11">
        <f t="shared" si="1"/>
        <v>0</v>
      </c>
      <c r="G32" s="11">
        <f t="shared" si="2"/>
        <v>-1320930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35</v>
      </c>
      <c r="F33" s="11">
        <f t="shared" si="1"/>
        <v>0</v>
      </c>
      <c r="G33" s="11">
        <f t="shared" si="2"/>
        <v>-770000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35</v>
      </c>
      <c r="F34" s="11">
        <f t="shared" si="1"/>
        <v>0</v>
      </c>
      <c r="G34" s="11">
        <f t="shared" si="2"/>
        <v>-8750000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35</v>
      </c>
      <c r="F35" s="11">
        <f t="shared" si="1"/>
        <v>0</v>
      </c>
      <c r="G35" s="11">
        <f t="shared" si="2"/>
        <v>-22767500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33</v>
      </c>
      <c r="F36" s="11">
        <f t="shared" si="1"/>
        <v>0</v>
      </c>
      <c r="G36" s="11">
        <f t="shared" si="2"/>
        <v>-6600000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30</v>
      </c>
      <c r="F37" s="11">
        <f t="shared" si="1"/>
        <v>0</v>
      </c>
      <c r="G37" s="11">
        <f t="shared" si="2"/>
        <v>-6000000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30</v>
      </c>
      <c r="F38" s="11">
        <f t="shared" si="1"/>
        <v>0</v>
      </c>
      <c r="G38" s="11">
        <f t="shared" si="2"/>
        <v>-788220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29</v>
      </c>
      <c r="F39" s="11">
        <f t="shared" si="1"/>
        <v>0</v>
      </c>
      <c r="G39" s="11">
        <f t="shared" si="2"/>
        <v>-292030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28</v>
      </c>
      <c r="F40" s="11">
        <f t="shared" si="1"/>
        <v>0</v>
      </c>
      <c r="G40" s="11">
        <f t="shared" si="2"/>
        <v>-840000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23</v>
      </c>
      <c r="F41" s="11">
        <f t="shared" si="1"/>
        <v>1</v>
      </c>
      <c r="G41" s="11">
        <f t="shared" si="2"/>
        <v>164582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22</v>
      </c>
      <c r="F42" s="11">
        <f t="shared" si="1"/>
        <v>1</v>
      </c>
      <c r="G42" s="11">
        <f t="shared" si="2"/>
        <v>21000000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20</v>
      </c>
      <c r="F43" s="11">
        <f t="shared" si="1"/>
        <v>0</v>
      </c>
      <c r="G43" s="11">
        <f t="shared" si="2"/>
        <v>-786600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17</v>
      </c>
      <c r="F44" s="11">
        <f t="shared" si="1"/>
        <v>0</v>
      </c>
      <c r="G44" s="11">
        <f t="shared" si="2"/>
        <v>-596360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14</v>
      </c>
      <c r="F45" s="11">
        <f t="shared" si="1"/>
        <v>0</v>
      </c>
      <c r="G45" s="11">
        <f t="shared" si="2"/>
        <v>-2800000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13</v>
      </c>
      <c r="F46" s="11">
        <f t="shared" si="1"/>
        <v>0</v>
      </c>
      <c r="G46" s="11">
        <f t="shared" si="2"/>
        <v>-550810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12</v>
      </c>
      <c r="F47" s="11">
        <f t="shared" si="1"/>
        <v>0</v>
      </c>
      <c r="G47" s="11">
        <f t="shared" si="2"/>
        <v>-514968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9</v>
      </c>
      <c r="F48" s="11">
        <f t="shared" si="1"/>
        <v>0</v>
      </c>
      <c r="G48" s="11">
        <f t="shared" si="2"/>
        <v>-747000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8</v>
      </c>
      <c r="F49" s="11">
        <f t="shared" si="1"/>
        <v>0</v>
      </c>
      <c r="G49" s="11">
        <f t="shared" si="2"/>
        <v>-760000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6</v>
      </c>
      <c r="F50" s="11">
        <f t="shared" si="1"/>
        <v>0</v>
      </c>
      <c r="G50" s="11">
        <f t="shared" si="2"/>
        <v>-1080000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6</v>
      </c>
      <c r="F51" s="11">
        <f t="shared" si="1"/>
        <v>0</v>
      </c>
      <c r="G51" s="11">
        <f t="shared" si="2"/>
        <v>-570000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4</v>
      </c>
      <c r="F52" s="11">
        <f t="shared" si="1"/>
        <v>0</v>
      </c>
      <c r="G52" s="11">
        <f t="shared" si="2"/>
        <v>-51120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3</v>
      </c>
      <c r="F53" s="11">
        <f t="shared" si="1"/>
        <v>0</v>
      </c>
      <c r="G53" s="11">
        <f t="shared" si="2"/>
        <v>-66000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2</v>
      </c>
      <c r="F54" s="11">
        <f t="shared" si="1"/>
        <v>1</v>
      </c>
      <c r="G54" s="11">
        <f t="shared" si="2"/>
        <v>999000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2</v>
      </c>
      <c r="F55" s="11">
        <f t="shared" si="1"/>
        <v>1</v>
      </c>
      <c r="G55" s="11">
        <f t="shared" si="2"/>
        <v>106900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2</v>
      </c>
      <c r="F56" s="11">
        <f t="shared" si="1"/>
        <v>0</v>
      </c>
      <c r="G56" s="11">
        <f t="shared" si="2"/>
        <v>-326000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1</v>
      </c>
      <c r="F57" s="11">
        <f t="shared" si="1"/>
        <v>0</v>
      </c>
      <c r="G57" s="11">
        <f t="shared" si="2"/>
        <v>-18400</v>
      </c>
    </row>
    <row r="58" spans="1:7" x14ac:dyDescent="0.25">
      <c r="A58" s="11" t="s">
        <v>962</v>
      </c>
      <c r="B58" s="3">
        <v>-457777</v>
      </c>
      <c r="C58" s="11" t="s">
        <v>954</v>
      </c>
      <c r="D58" s="11">
        <v>0</v>
      </c>
      <c r="E58" s="11">
        <f t="shared" si="3"/>
        <v>0</v>
      </c>
      <c r="F58" s="11">
        <f t="shared" si="1"/>
        <v>0</v>
      </c>
      <c r="G58" s="11">
        <f t="shared" si="2"/>
        <v>0</v>
      </c>
    </row>
    <row r="59" spans="1:7" x14ac:dyDescent="0.25">
      <c r="A59" s="11"/>
      <c r="B59" s="3"/>
      <c r="C59" s="11"/>
      <c r="D59" s="11"/>
      <c r="E59" s="11">
        <f t="shared" si="3"/>
        <v>0</v>
      </c>
      <c r="F59" s="11">
        <f t="shared" si="1"/>
        <v>0</v>
      </c>
      <c r="G59" s="11">
        <f t="shared" si="2"/>
        <v>0</v>
      </c>
    </row>
    <row r="60" spans="1:7" x14ac:dyDescent="0.25">
      <c r="A60" s="11"/>
      <c r="B60" s="3"/>
      <c r="C60" s="11"/>
      <c r="D60" s="11"/>
      <c r="E60" s="11">
        <f t="shared" si="3"/>
        <v>0</v>
      </c>
      <c r="F60" s="11">
        <f t="shared" si="1"/>
        <v>0</v>
      </c>
      <c r="G60" s="11">
        <f t="shared" si="2"/>
        <v>0</v>
      </c>
    </row>
    <row r="61" spans="1:7" x14ac:dyDescent="0.25">
      <c r="A61" s="11"/>
      <c r="B61" s="3"/>
      <c r="C61" s="11"/>
      <c r="D61" s="11"/>
      <c r="E61" s="11">
        <f t="shared" si="3"/>
        <v>0</v>
      </c>
      <c r="F61" s="11">
        <f t="shared" si="1"/>
        <v>0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635093</v>
      </c>
      <c r="C70" s="11"/>
      <c r="D70" s="11"/>
      <c r="E70" s="11"/>
      <c r="F70" s="11"/>
      <c r="G70" s="29">
        <f>SUM(G2:G30)</f>
        <v>119239544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295147.38613861386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88" sqref="G18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656</v>
      </c>
      <c r="E2" s="11">
        <f>IF(B2&gt;0,1,0)</f>
        <v>1</v>
      </c>
      <c r="F2" s="11">
        <f>B2*(D2-E2)</f>
        <v>63338500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654</v>
      </c>
      <c r="E3" s="11">
        <f t="shared" ref="E3:E66" si="1">IF(B3&gt;0,1,0)</f>
        <v>1</v>
      </c>
      <c r="F3" s="11">
        <f t="shared" ref="F3:F66" si="2">B3*(D3-E3)</f>
        <v>1959000000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651</v>
      </c>
      <c r="E4" s="11">
        <f t="shared" si="1"/>
        <v>0</v>
      </c>
      <c r="F4" s="11">
        <f t="shared" si="2"/>
        <v>-130200000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649</v>
      </c>
      <c r="E5" s="11">
        <f t="shared" si="1"/>
        <v>0</v>
      </c>
      <c r="F5" s="11">
        <f t="shared" si="2"/>
        <v>-64900000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648</v>
      </c>
      <c r="E6" s="11">
        <f t="shared" si="1"/>
        <v>0</v>
      </c>
      <c r="F6" s="11">
        <f t="shared" si="2"/>
        <v>-35640000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647</v>
      </c>
      <c r="E7" s="11">
        <f t="shared" si="1"/>
        <v>0</v>
      </c>
      <c r="F7" s="11">
        <f t="shared" si="2"/>
        <v>-129400000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643</v>
      </c>
      <c r="E8" s="11">
        <f t="shared" si="1"/>
        <v>0</v>
      </c>
      <c r="F8" s="11">
        <f t="shared" si="2"/>
        <v>-128600000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633</v>
      </c>
      <c r="E9" s="11">
        <f t="shared" si="1"/>
        <v>0</v>
      </c>
      <c r="F9" s="11">
        <f t="shared" si="2"/>
        <v>-601666500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632</v>
      </c>
      <c r="E10" s="11">
        <f t="shared" si="1"/>
        <v>1</v>
      </c>
      <c r="F10" s="11">
        <f t="shared" si="2"/>
        <v>1262000000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630</v>
      </c>
      <c r="E11" s="11">
        <f t="shared" si="1"/>
        <v>0</v>
      </c>
      <c r="F11" s="11">
        <f t="shared" si="2"/>
        <v>-670950000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627</v>
      </c>
      <c r="E12" s="11">
        <f t="shared" si="1"/>
        <v>0</v>
      </c>
      <c r="F12" s="11">
        <f t="shared" si="2"/>
        <v>-28215000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626</v>
      </c>
      <c r="E13" s="11">
        <f t="shared" si="1"/>
        <v>0</v>
      </c>
      <c r="F13" s="11">
        <f t="shared" si="2"/>
        <v>-1252438200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622</v>
      </c>
      <c r="E14" s="11">
        <f t="shared" si="1"/>
        <v>0</v>
      </c>
      <c r="F14" s="11">
        <f t="shared" si="2"/>
        <v>-124400000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620</v>
      </c>
      <c r="E15" s="11">
        <f t="shared" si="1"/>
        <v>1</v>
      </c>
      <c r="F15" s="11">
        <f t="shared" si="2"/>
        <v>1238000000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620</v>
      </c>
      <c r="E16" s="11">
        <f t="shared" si="1"/>
        <v>1</v>
      </c>
      <c r="F16" s="11">
        <f t="shared" si="2"/>
        <v>1238000000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620</v>
      </c>
      <c r="E17" s="11">
        <f t="shared" si="1"/>
        <v>1</v>
      </c>
      <c r="F17" s="11">
        <f t="shared" si="2"/>
        <v>742800000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620</v>
      </c>
      <c r="E18" s="11">
        <f t="shared" si="1"/>
        <v>1</v>
      </c>
      <c r="F18" s="11">
        <f t="shared" si="2"/>
        <v>619000000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619</v>
      </c>
      <c r="E19" s="11">
        <f t="shared" si="1"/>
        <v>1</v>
      </c>
      <c r="F19" s="11">
        <f t="shared" si="2"/>
        <v>1854000000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619</v>
      </c>
      <c r="E20" s="11">
        <f t="shared" si="1"/>
        <v>0</v>
      </c>
      <c r="F20" s="11">
        <f t="shared" si="2"/>
        <v>-267841300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619</v>
      </c>
      <c r="E21" s="11">
        <f t="shared" si="1"/>
        <v>0</v>
      </c>
      <c r="F21" s="11">
        <f t="shared" si="2"/>
        <v>-267841300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619</v>
      </c>
      <c r="E22" s="11">
        <f t="shared" si="1"/>
        <v>0</v>
      </c>
      <c r="F22" s="11">
        <f t="shared" si="2"/>
        <v>-267841300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619</v>
      </c>
      <c r="E23" s="11">
        <f t="shared" si="1"/>
        <v>0</v>
      </c>
      <c r="F23" s="11">
        <f t="shared" si="2"/>
        <v>-267841300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619</v>
      </c>
      <c r="E24" s="11">
        <f t="shared" si="1"/>
        <v>0</v>
      </c>
      <c r="F24" s="11">
        <f t="shared" si="2"/>
        <v>-267841300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619</v>
      </c>
      <c r="E25" s="11">
        <f t="shared" si="1"/>
        <v>0</v>
      </c>
      <c r="F25" s="11">
        <f t="shared" si="2"/>
        <v>-123800000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618</v>
      </c>
      <c r="E26" s="11">
        <f t="shared" si="1"/>
        <v>1</v>
      </c>
      <c r="F26" s="11">
        <f t="shared" si="2"/>
        <v>1851000000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616</v>
      </c>
      <c r="E27" s="11">
        <f t="shared" si="1"/>
        <v>0</v>
      </c>
      <c r="F27" s="11">
        <f t="shared" si="2"/>
        <v>-123200000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615</v>
      </c>
      <c r="E28" s="11">
        <f t="shared" si="1"/>
        <v>1</v>
      </c>
      <c r="F28" s="11">
        <f t="shared" si="2"/>
        <v>1228000000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614</v>
      </c>
      <c r="E29" s="11">
        <f t="shared" si="1"/>
        <v>0</v>
      </c>
      <c r="F29" s="11">
        <f t="shared" si="2"/>
        <v>-4298491200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613</v>
      </c>
      <c r="E30" s="11">
        <f t="shared" si="1"/>
        <v>0</v>
      </c>
      <c r="F30" s="11">
        <f t="shared" si="2"/>
        <v>-1839551700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612</v>
      </c>
      <c r="E31" s="11">
        <f t="shared" si="1"/>
        <v>0</v>
      </c>
      <c r="F31" s="11">
        <f t="shared" si="2"/>
        <v>-1037890800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609</v>
      </c>
      <c r="E32" s="11">
        <f t="shared" si="1"/>
        <v>1</v>
      </c>
      <c r="F32" s="11">
        <f t="shared" si="2"/>
        <v>604534400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603</v>
      </c>
      <c r="E33" s="11">
        <f t="shared" si="1"/>
        <v>1</v>
      </c>
      <c r="F33" s="11">
        <f t="shared" si="2"/>
        <v>21124782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602</v>
      </c>
      <c r="E34" s="11">
        <f t="shared" si="1"/>
        <v>0</v>
      </c>
      <c r="F34" s="11">
        <f t="shared" si="2"/>
        <v>-511700000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594</v>
      </c>
      <c r="E35" s="11">
        <f t="shared" si="1"/>
        <v>0</v>
      </c>
      <c r="F35" s="11">
        <f t="shared" si="2"/>
        <v>-113157000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593</v>
      </c>
      <c r="E36" s="11">
        <f t="shared" si="1"/>
        <v>1</v>
      </c>
      <c r="F36" s="11">
        <f t="shared" si="2"/>
        <v>118400000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593</v>
      </c>
      <c r="E37" s="11">
        <f t="shared" si="1"/>
        <v>0</v>
      </c>
      <c r="F37" s="11">
        <f t="shared" si="2"/>
        <v>-118600000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571</v>
      </c>
      <c r="E38" s="11">
        <f t="shared" si="1"/>
        <v>1</v>
      </c>
      <c r="F38" s="11">
        <f t="shared" si="2"/>
        <v>171459420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570</v>
      </c>
      <c r="E39" s="11">
        <f t="shared" si="1"/>
        <v>0</v>
      </c>
      <c r="F39" s="11">
        <f t="shared" si="2"/>
        <v>-54150000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570</v>
      </c>
      <c r="E40" s="11">
        <f t="shared" si="1"/>
        <v>0</v>
      </c>
      <c r="F40" s="11">
        <f t="shared" si="2"/>
        <v>-50218710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565</v>
      </c>
      <c r="E41" s="11">
        <f t="shared" si="1"/>
        <v>0</v>
      </c>
      <c r="F41" s="11">
        <f t="shared" si="2"/>
        <v>-67800000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543</v>
      </c>
      <c r="E42" s="11">
        <f t="shared" si="1"/>
        <v>1</v>
      </c>
      <c r="F42" s="11">
        <f t="shared" si="2"/>
        <v>542110568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539</v>
      </c>
      <c r="E43" s="11">
        <f t="shared" si="1"/>
        <v>0</v>
      </c>
      <c r="F43" s="11">
        <f t="shared" si="2"/>
        <v>-43120000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535</v>
      </c>
      <c r="E44" s="11">
        <f t="shared" si="1"/>
        <v>0</v>
      </c>
      <c r="F44" s="11">
        <f t="shared" si="2"/>
        <v>-112900515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534</v>
      </c>
      <c r="E45" s="11">
        <f t="shared" si="1"/>
        <v>0</v>
      </c>
      <c r="F45" s="11">
        <f t="shared" si="2"/>
        <v>-106800000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533</v>
      </c>
      <c r="E46" s="11">
        <f t="shared" si="1"/>
        <v>0</v>
      </c>
      <c r="F46" s="11">
        <f t="shared" si="2"/>
        <v>-50635000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531</v>
      </c>
      <c r="E47" s="11">
        <f t="shared" si="1"/>
        <v>0</v>
      </c>
      <c r="F47" s="11">
        <f t="shared" si="2"/>
        <v>-23895000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531</v>
      </c>
      <c r="E48" s="11">
        <f t="shared" si="1"/>
        <v>0</v>
      </c>
      <c r="F48" s="11">
        <f t="shared" si="2"/>
        <v>-34079580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528</v>
      </c>
      <c r="E49" s="11">
        <f t="shared" si="1"/>
        <v>0</v>
      </c>
      <c r="F49" s="11">
        <f t="shared" si="2"/>
        <v>-14511552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527</v>
      </c>
      <c r="E50" s="11">
        <f t="shared" si="1"/>
        <v>0</v>
      </c>
      <c r="F50" s="11">
        <f t="shared" si="2"/>
        <v>-74307000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527</v>
      </c>
      <c r="E51" s="11">
        <f t="shared" si="1"/>
        <v>0</v>
      </c>
      <c r="F51" s="11">
        <f t="shared" si="2"/>
        <v>-14095142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526</v>
      </c>
      <c r="E52" s="11">
        <f t="shared" si="1"/>
        <v>0</v>
      </c>
      <c r="F52" s="11">
        <f t="shared" si="2"/>
        <v>-28035800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525</v>
      </c>
      <c r="E53" s="11">
        <f t="shared" si="1"/>
        <v>1</v>
      </c>
      <c r="F53" s="11">
        <f t="shared" si="2"/>
        <v>524000000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519</v>
      </c>
      <c r="E54" s="11">
        <f t="shared" si="1"/>
        <v>0</v>
      </c>
      <c r="F54" s="11">
        <f t="shared" si="2"/>
        <v>-10899000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518</v>
      </c>
      <c r="E55" s="11">
        <f t="shared" si="1"/>
        <v>0</v>
      </c>
      <c r="F55" s="11">
        <f t="shared" si="2"/>
        <v>-507899000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518</v>
      </c>
      <c r="E56" s="11">
        <f t="shared" si="1"/>
        <v>0</v>
      </c>
      <c r="F56" s="11">
        <f t="shared" si="2"/>
        <v>-23310000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505</v>
      </c>
      <c r="E57" s="11">
        <f t="shared" si="1"/>
        <v>1</v>
      </c>
      <c r="F57" s="11">
        <f t="shared" si="2"/>
        <v>1514615256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505</v>
      </c>
      <c r="E58" s="11">
        <f t="shared" si="1"/>
        <v>1</v>
      </c>
      <c r="F58" s="11">
        <f t="shared" si="2"/>
        <v>1008000000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504</v>
      </c>
      <c r="E59" s="11">
        <f t="shared" si="1"/>
        <v>1</v>
      </c>
      <c r="F59" s="11">
        <f t="shared" si="2"/>
        <v>1006000000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504</v>
      </c>
      <c r="E60" s="11">
        <f t="shared" si="1"/>
        <v>0</v>
      </c>
      <c r="F60" s="11">
        <f t="shared" si="2"/>
        <v>-3528756000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480</v>
      </c>
      <c r="E61" s="11">
        <f t="shared" si="1"/>
        <v>1</v>
      </c>
      <c r="F61" s="11">
        <f t="shared" si="2"/>
        <v>1437000000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479</v>
      </c>
      <c r="E62" s="11">
        <f t="shared" si="1"/>
        <v>0</v>
      </c>
      <c r="F62" s="11">
        <f t="shared" si="2"/>
        <v>-12985211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479</v>
      </c>
      <c r="E63" s="11">
        <f t="shared" si="1"/>
        <v>0</v>
      </c>
      <c r="F63" s="11">
        <f t="shared" si="2"/>
        <v>-15801731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479</v>
      </c>
      <c r="E64" s="11">
        <f t="shared" si="1"/>
        <v>1</v>
      </c>
      <c r="F64" s="11">
        <f t="shared" si="2"/>
        <v>1434000000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479</v>
      </c>
      <c r="E65" s="11">
        <f t="shared" si="1"/>
        <v>1</v>
      </c>
      <c r="F65" s="11">
        <f t="shared" si="2"/>
        <v>1419660000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479</v>
      </c>
      <c r="E66" s="11">
        <f t="shared" si="1"/>
        <v>1</v>
      </c>
      <c r="F66" s="11">
        <f t="shared" si="2"/>
        <v>478000000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479</v>
      </c>
      <c r="E67" s="11">
        <f t="shared" ref="E67:E130" si="4">IF(B67&gt;0,1,0)</f>
        <v>1</v>
      </c>
      <c r="F67" s="11">
        <f t="shared" ref="F67:F200" si="5">B67*(D67-E67)</f>
        <v>14340000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478</v>
      </c>
      <c r="E68" s="11">
        <f t="shared" si="4"/>
        <v>1</v>
      </c>
      <c r="F68" s="11">
        <f t="shared" si="5"/>
        <v>14310000000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477</v>
      </c>
      <c r="E69" s="11">
        <f t="shared" si="4"/>
        <v>0</v>
      </c>
      <c r="F69" s="11">
        <f t="shared" si="5"/>
        <v>-95400000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477</v>
      </c>
      <c r="E70" s="11">
        <f t="shared" si="4"/>
        <v>1</v>
      </c>
      <c r="F70" s="11">
        <f t="shared" si="5"/>
        <v>666400000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477</v>
      </c>
      <c r="E71" s="11">
        <f t="shared" si="4"/>
        <v>1</v>
      </c>
      <c r="F71" s="11">
        <f t="shared" si="5"/>
        <v>1237600000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477</v>
      </c>
      <c r="E72" s="11">
        <f t="shared" si="4"/>
        <v>0</v>
      </c>
      <c r="F72" s="11">
        <f t="shared" si="5"/>
        <v>-477000000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475</v>
      </c>
      <c r="E73" s="11">
        <f t="shared" si="4"/>
        <v>1</v>
      </c>
      <c r="F73" s="11">
        <f t="shared" si="5"/>
        <v>7110000000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470</v>
      </c>
      <c r="E74" s="11">
        <f t="shared" si="4"/>
        <v>0</v>
      </c>
      <c r="F74" s="11">
        <f t="shared" si="5"/>
        <v>-7051974000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468</v>
      </c>
      <c r="E75" s="11">
        <f t="shared" si="4"/>
        <v>0</v>
      </c>
      <c r="F75" s="11">
        <f t="shared" si="5"/>
        <v>-1404000000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468</v>
      </c>
      <c r="E76" s="11">
        <f t="shared" si="4"/>
        <v>0</v>
      </c>
      <c r="F76" s="11">
        <f t="shared" si="5"/>
        <v>-93600000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468</v>
      </c>
      <c r="E77" s="11">
        <f t="shared" si="4"/>
        <v>0</v>
      </c>
      <c r="F77" s="11">
        <f t="shared" si="5"/>
        <v>-5617404000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464</v>
      </c>
      <c r="E78" s="11">
        <f t="shared" si="4"/>
        <v>0</v>
      </c>
      <c r="F78" s="11">
        <f t="shared" si="5"/>
        <v>-1392417600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459</v>
      </c>
      <c r="E79" s="11">
        <f t="shared" si="4"/>
        <v>1</v>
      </c>
      <c r="F79" s="11">
        <f t="shared" si="5"/>
        <v>10534000000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454</v>
      </c>
      <c r="E80" s="11">
        <f t="shared" si="4"/>
        <v>0</v>
      </c>
      <c r="F80" s="11">
        <f t="shared" si="5"/>
        <v>-272627000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454</v>
      </c>
      <c r="E81" s="11">
        <f t="shared" si="4"/>
        <v>0</v>
      </c>
      <c r="F81" s="11">
        <f t="shared" si="5"/>
        <v>-90800000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453</v>
      </c>
      <c r="E82" s="11">
        <f t="shared" si="4"/>
        <v>1</v>
      </c>
      <c r="F82" s="11">
        <f t="shared" si="5"/>
        <v>128015892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453</v>
      </c>
      <c r="E83" s="11">
        <f t="shared" si="4"/>
        <v>0</v>
      </c>
      <c r="F83" s="11">
        <f t="shared" si="5"/>
        <v>-90600000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451</v>
      </c>
      <c r="E84" s="11">
        <f t="shared" si="4"/>
        <v>1</v>
      </c>
      <c r="F84" s="11">
        <f t="shared" si="5"/>
        <v>900000000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448</v>
      </c>
      <c r="E85" s="11">
        <f t="shared" si="4"/>
        <v>0</v>
      </c>
      <c r="F85" s="11">
        <f t="shared" si="5"/>
        <v>-89600000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442</v>
      </c>
      <c r="E86" s="11">
        <f t="shared" si="4"/>
        <v>0</v>
      </c>
      <c r="F86" s="11">
        <f t="shared" si="5"/>
        <v>-88400000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440</v>
      </c>
      <c r="E87" s="11">
        <f t="shared" si="4"/>
        <v>0</v>
      </c>
      <c r="F87" s="11">
        <f t="shared" si="5"/>
        <v>-583000000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425</v>
      </c>
      <c r="E88" s="11">
        <f t="shared" si="4"/>
        <v>0</v>
      </c>
      <c r="F88" s="11">
        <f t="shared" si="5"/>
        <v>-212500000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425</v>
      </c>
      <c r="E89" s="11">
        <f t="shared" si="4"/>
        <v>0</v>
      </c>
      <c r="F89" s="11">
        <f t="shared" si="5"/>
        <v>-51000000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423</v>
      </c>
      <c r="E90" s="11">
        <f t="shared" si="4"/>
        <v>1</v>
      </c>
      <c r="F90" s="11">
        <f t="shared" si="5"/>
        <v>180702510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420</v>
      </c>
      <c r="E91" s="11">
        <f t="shared" si="4"/>
        <v>0</v>
      </c>
      <c r="F91" s="11">
        <f t="shared" si="5"/>
        <v>-1260840000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418</v>
      </c>
      <c r="E92" s="11">
        <f t="shared" si="4"/>
        <v>0</v>
      </c>
      <c r="F92" s="11">
        <f t="shared" si="5"/>
        <v>-85690000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418</v>
      </c>
      <c r="E93" s="11">
        <f t="shared" si="4"/>
        <v>0</v>
      </c>
      <c r="F93" s="11">
        <f t="shared" si="5"/>
        <v>-146509000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407</v>
      </c>
      <c r="E94" s="11">
        <f t="shared" si="4"/>
        <v>1</v>
      </c>
      <c r="F94" s="11">
        <f t="shared" si="5"/>
        <v>406000000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402</v>
      </c>
      <c r="E95" s="11">
        <f t="shared" si="4"/>
        <v>1</v>
      </c>
      <c r="F95" s="11">
        <f t="shared" si="5"/>
        <v>3609000000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400</v>
      </c>
      <c r="E96" s="11">
        <f t="shared" si="4"/>
        <v>0</v>
      </c>
      <c r="F96" s="11">
        <f t="shared" si="5"/>
        <v>-10400000000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400</v>
      </c>
      <c r="E97" s="11">
        <f t="shared" si="4"/>
        <v>0</v>
      </c>
      <c r="F97" s="11">
        <f t="shared" si="5"/>
        <v>-10400000000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400</v>
      </c>
      <c r="E98" s="11">
        <f t="shared" si="4"/>
        <v>1</v>
      </c>
      <c r="F98" s="11">
        <f t="shared" si="5"/>
        <v>10374000000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400</v>
      </c>
      <c r="E99" s="11">
        <f t="shared" si="4"/>
        <v>0</v>
      </c>
      <c r="F99" s="11">
        <f t="shared" si="5"/>
        <v>-80000000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398</v>
      </c>
      <c r="E100" s="11">
        <f t="shared" si="4"/>
        <v>1</v>
      </c>
      <c r="F100" s="11">
        <f t="shared" si="5"/>
        <v>11592400000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393</v>
      </c>
      <c r="E101" s="11">
        <f t="shared" si="4"/>
        <v>1</v>
      </c>
      <c r="F101" s="11">
        <f t="shared" si="5"/>
        <v>156778440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392</v>
      </c>
      <c r="E102" s="11">
        <f t="shared" si="4"/>
        <v>1</v>
      </c>
      <c r="F102" s="11">
        <f t="shared" si="5"/>
        <v>782000000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391</v>
      </c>
      <c r="E103" s="11">
        <f t="shared" si="4"/>
        <v>1</v>
      </c>
      <c r="F103" s="11">
        <f t="shared" si="5"/>
        <v>2925000000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391</v>
      </c>
      <c r="E104" s="11">
        <f t="shared" si="4"/>
        <v>0</v>
      </c>
      <c r="F104" s="11">
        <f t="shared" si="5"/>
        <v>-25806000000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391</v>
      </c>
      <c r="E105" s="11">
        <f t="shared" si="4"/>
        <v>0</v>
      </c>
      <c r="F105" s="11">
        <f t="shared" si="5"/>
        <v>-56695000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389</v>
      </c>
      <c r="E106" s="11">
        <f t="shared" si="4"/>
        <v>1</v>
      </c>
      <c r="F106" s="11">
        <f t="shared" si="5"/>
        <v>2328000000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387</v>
      </c>
      <c r="E107" s="11">
        <f t="shared" si="4"/>
        <v>0</v>
      </c>
      <c r="F107" s="11">
        <f t="shared" si="5"/>
        <v>-2324283300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384</v>
      </c>
      <c r="E108" s="11">
        <f t="shared" si="4"/>
        <v>1</v>
      </c>
      <c r="F108" s="11">
        <f t="shared" si="5"/>
        <v>2298000000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372</v>
      </c>
      <c r="E109" s="11">
        <f t="shared" si="4"/>
        <v>0</v>
      </c>
      <c r="F109" s="11">
        <f t="shared" si="5"/>
        <v>-44640000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371</v>
      </c>
      <c r="E110" s="11">
        <f t="shared" si="4"/>
        <v>1</v>
      </c>
      <c r="F110" s="11">
        <f t="shared" si="5"/>
        <v>1480000000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370</v>
      </c>
      <c r="E111" s="11">
        <f t="shared" si="4"/>
        <v>1</v>
      </c>
      <c r="F111" s="11">
        <f t="shared" si="5"/>
        <v>1033200000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366</v>
      </c>
      <c r="E112" s="11">
        <f t="shared" si="4"/>
        <v>0</v>
      </c>
      <c r="F112" s="11">
        <f t="shared" si="5"/>
        <v>-73200000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365</v>
      </c>
      <c r="E113" s="11">
        <f t="shared" si="4"/>
        <v>1</v>
      </c>
      <c r="F113" s="11">
        <f t="shared" si="5"/>
        <v>26320840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348</v>
      </c>
      <c r="E114" s="11">
        <f t="shared" si="4"/>
        <v>0</v>
      </c>
      <c r="F114" s="11">
        <f t="shared" si="5"/>
        <v>-69600000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347</v>
      </c>
      <c r="E115" s="11">
        <f t="shared" si="4"/>
        <v>0</v>
      </c>
      <c r="F115" s="23">
        <f t="shared" si="5"/>
        <v>-3817000000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347</v>
      </c>
      <c r="E116" s="11">
        <f t="shared" si="4"/>
        <v>0</v>
      </c>
      <c r="F116" s="11">
        <f t="shared" si="5"/>
        <v>-69400000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345</v>
      </c>
      <c r="E117" s="11">
        <f t="shared" si="4"/>
        <v>0</v>
      </c>
      <c r="F117" s="11">
        <f t="shared" si="5"/>
        <v>-155422500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345</v>
      </c>
      <c r="E118" s="11">
        <f t="shared" si="4"/>
        <v>0</v>
      </c>
      <c r="F118" s="11">
        <f t="shared" si="5"/>
        <v>-69000000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339</v>
      </c>
      <c r="E119" s="11">
        <f t="shared" si="4"/>
        <v>0</v>
      </c>
      <c r="F119" s="11">
        <f t="shared" si="5"/>
        <v>-52392450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339</v>
      </c>
      <c r="E120" s="11">
        <f t="shared" si="4"/>
        <v>0</v>
      </c>
      <c r="F120" s="11">
        <f t="shared" si="5"/>
        <v>-108480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338</v>
      </c>
      <c r="E121" s="11">
        <f t="shared" si="4"/>
        <v>0</v>
      </c>
      <c r="F121" s="11">
        <f t="shared" si="5"/>
        <v>-146016000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332</v>
      </c>
      <c r="E122" s="11">
        <f t="shared" si="4"/>
        <v>1</v>
      </c>
      <c r="F122" s="11">
        <f t="shared" si="5"/>
        <v>24508233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311</v>
      </c>
      <c r="E123" s="11">
        <f t="shared" si="4"/>
        <v>0</v>
      </c>
      <c r="F123" s="11">
        <f t="shared" si="5"/>
        <v>-16172000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270</v>
      </c>
      <c r="E124" s="11">
        <f t="shared" si="4"/>
        <v>1</v>
      </c>
      <c r="F124" s="11">
        <f t="shared" si="5"/>
        <v>319303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269</v>
      </c>
      <c r="E125" s="11">
        <f t="shared" si="4"/>
        <v>1</v>
      </c>
      <c r="F125" s="11">
        <f t="shared" si="5"/>
        <v>643200000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267</v>
      </c>
      <c r="E126" s="11">
        <f t="shared" si="4"/>
        <v>1</v>
      </c>
      <c r="F126" s="11">
        <f t="shared" si="5"/>
        <v>357184800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267</v>
      </c>
      <c r="E127" s="11">
        <f t="shared" si="4"/>
        <v>1</v>
      </c>
      <c r="F127" s="11">
        <f t="shared" si="5"/>
        <v>357184800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255</v>
      </c>
      <c r="E128" s="11">
        <f t="shared" si="4"/>
        <v>0</v>
      </c>
      <c r="F128" s="11">
        <f t="shared" si="5"/>
        <v>-51000000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253</v>
      </c>
      <c r="E129" s="11">
        <f t="shared" si="4"/>
        <v>0</v>
      </c>
      <c r="F129" s="11">
        <f>B129*(D129-E129)</f>
        <v>-3951354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252</v>
      </c>
      <c r="E130" s="11">
        <f t="shared" si="4"/>
        <v>0</v>
      </c>
      <c r="F130" s="11">
        <f t="shared" si="5"/>
        <v>-50400000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251</v>
      </c>
      <c r="E131" s="11">
        <f t="shared" ref="E131:E201" si="7">IF(B131&gt;0,1,0)</f>
        <v>0</v>
      </c>
      <c r="F131" s="11">
        <f t="shared" si="5"/>
        <v>-50200000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250</v>
      </c>
      <c r="E132" s="11">
        <f t="shared" si="7"/>
        <v>0</v>
      </c>
      <c r="F132" s="11">
        <f t="shared" si="5"/>
        <v>-97500000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250</v>
      </c>
      <c r="E133" s="11">
        <f t="shared" si="7"/>
        <v>0</v>
      </c>
      <c r="F133" s="11">
        <f t="shared" si="5"/>
        <v>-6125000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249</v>
      </c>
      <c r="E134" s="11">
        <f t="shared" si="7"/>
        <v>0</v>
      </c>
      <c r="F134" s="11">
        <f t="shared" si="5"/>
        <v>-23655000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245</v>
      </c>
      <c r="E135" s="11">
        <f t="shared" si="7"/>
        <v>0</v>
      </c>
      <c r="F135" s="11">
        <f t="shared" si="5"/>
        <v>-49000000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243</v>
      </c>
      <c r="E136" s="11">
        <f t="shared" si="7"/>
        <v>1</v>
      </c>
      <c r="F136" s="11">
        <f t="shared" si="5"/>
        <v>12100000000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242</v>
      </c>
      <c r="E137" s="11">
        <f t="shared" si="7"/>
        <v>1</v>
      </c>
      <c r="F137" s="11">
        <f t="shared" si="5"/>
        <v>2892000000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240</v>
      </c>
      <c r="E138" s="11">
        <f t="shared" si="7"/>
        <v>1</v>
      </c>
      <c r="F138" s="11">
        <f t="shared" si="5"/>
        <v>478000000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239</v>
      </c>
      <c r="E139" s="11">
        <f t="shared" si="7"/>
        <v>1</v>
      </c>
      <c r="F139" s="11">
        <f t="shared" si="5"/>
        <v>20834044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226</v>
      </c>
      <c r="E140" s="11">
        <f t="shared" si="7"/>
        <v>0</v>
      </c>
      <c r="F140" s="11">
        <f t="shared" si="5"/>
        <v>-678203400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225</v>
      </c>
      <c r="E141" s="11">
        <f t="shared" si="7"/>
        <v>0</v>
      </c>
      <c r="F141" s="11">
        <f t="shared" si="5"/>
        <v>-675202500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208</v>
      </c>
      <c r="E142" s="11">
        <f t="shared" si="7"/>
        <v>1</v>
      </c>
      <c r="F142" s="11">
        <f t="shared" si="5"/>
        <v>124619175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208</v>
      </c>
      <c r="E143" s="11">
        <f t="shared" si="7"/>
        <v>0</v>
      </c>
      <c r="F143" s="11">
        <f t="shared" si="5"/>
        <v>-9568000000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177</v>
      </c>
      <c r="E144" s="11">
        <f t="shared" si="7"/>
        <v>1</v>
      </c>
      <c r="F144" s="11">
        <f t="shared" si="5"/>
        <v>27122832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176</v>
      </c>
      <c r="E145" s="11">
        <f t="shared" si="7"/>
        <v>1</v>
      </c>
      <c r="F145" s="11">
        <f t="shared" si="5"/>
        <v>525000000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173</v>
      </c>
      <c r="E146" s="11">
        <f t="shared" si="7"/>
        <v>0</v>
      </c>
      <c r="F146" s="11">
        <f t="shared" si="5"/>
        <v>-34600000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168</v>
      </c>
      <c r="E147" s="11">
        <f t="shared" si="7"/>
        <v>0</v>
      </c>
      <c r="F147" s="11">
        <f t="shared" si="5"/>
        <v>-33600000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167</v>
      </c>
      <c r="E148" s="11">
        <f t="shared" si="7"/>
        <v>0</v>
      </c>
      <c r="F148" s="11">
        <f t="shared" si="5"/>
        <v>-33400000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163</v>
      </c>
      <c r="E149" s="11">
        <f t="shared" si="7"/>
        <v>0</v>
      </c>
      <c r="F149" s="11">
        <f t="shared" si="5"/>
        <v>-32600000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162</v>
      </c>
      <c r="E150" s="11">
        <f t="shared" si="7"/>
        <v>1</v>
      </c>
      <c r="F150" s="11">
        <f t="shared" si="5"/>
        <v>3875817400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160</v>
      </c>
      <c r="E151" s="11">
        <f t="shared" si="7"/>
        <v>0</v>
      </c>
      <c r="F151" s="11">
        <f t="shared" si="5"/>
        <v>-32000000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154</v>
      </c>
      <c r="E152" s="11">
        <f t="shared" si="7"/>
        <v>0</v>
      </c>
      <c r="F152" s="11">
        <f t="shared" si="5"/>
        <v>-4620000000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153</v>
      </c>
      <c r="E153" s="11">
        <f t="shared" si="7"/>
        <v>0</v>
      </c>
      <c r="F153" s="11">
        <f t="shared" si="5"/>
        <v>-7956000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153</v>
      </c>
      <c r="E154" s="11">
        <f t="shared" si="7"/>
        <v>0</v>
      </c>
      <c r="F154" s="11">
        <f t="shared" si="5"/>
        <v>-20808000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148</v>
      </c>
      <c r="E155" s="11">
        <f t="shared" si="7"/>
        <v>1</v>
      </c>
      <c r="F155" s="11">
        <f t="shared" si="5"/>
        <v>441000000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147</v>
      </c>
      <c r="E156" s="11">
        <f t="shared" si="7"/>
        <v>1</v>
      </c>
      <c r="F156" s="11">
        <f t="shared" si="5"/>
        <v>27609038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147</v>
      </c>
      <c r="E157" s="11">
        <f t="shared" si="7"/>
        <v>1</v>
      </c>
      <c r="F157" s="11">
        <f t="shared" si="5"/>
        <v>3537244200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139</v>
      </c>
      <c r="E158" s="11">
        <f t="shared" si="7"/>
        <v>1</v>
      </c>
      <c r="F158" s="11">
        <f t="shared" si="5"/>
        <v>3352737600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139</v>
      </c>
      <c r="E159" s="11">
        <f t="shared" si="7"/>
        <v>0</v>
      </c>
      <c r="F159" s="11">
        <f t="shared" si="5"/>
        <v>-27939000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134</v>
      </c>
      <c r="E160" s="11">
        <f t="shared" si="7"/>
        <v>0</v>
      </c>
      <c r="F160" s="11">
        <f t="shared" si="5"/>
        <v>-26800000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131</v>
      </c>
      <c r="E161" s="11">
        <f t="shared" si="7"/>
        <v>0</v>
      </c>
      <c r="F161" s="11">
        <f t="shared" si="5"/>
        <v>-26200000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127</v>
      </c>
      <c r="E162" s="11">
        <f t="shared" si="7"/>
        <v>0</v>
      </c>
      <c r="F162" s="11">
        <f t="shared" si="5"/>
        <v>-25400000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124</v>
      </c>
      <c r="E163" s="11">
        <f t="shared" si="7"/>
        <v>0</v>
      </c>
      <c r="F163" s="11">
        <f t="shared" si="5"/>
        <v>-24800000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117</v>
      </c>
      <c r="E164" s="11">
        <f t="shared" si="7"/>
        <v>1</v>
      </c>
      <c r="F164" s="11">
        <f t="shared" si="5"/>
        <v>53090184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114</v>
      </c>
      <c r="E165" s="11">
        <f t="shared" si="7"/>
        <v>1</v>
      </c>
      <c r="F165" s="11">
        <f t="shared" si="5"/>
        <v>305100000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114</v>
      </c>
      <c r="E166" s="11">
        <f t="shared" si="7"/>
        <v>1</v>
      </c>
      <c r="F166" s="11">
        <f t="shared" si="5"/>
        <v>282500000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107</v>
      </c>
      <c r="E167" s="11">
        <f t="shared" si="7"/>
        <v>0</v>
      </c>
      <c r="F167" s="11">
        <f t="shared" si="5"/>
        <v>-21400000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105</v>
      </c>
      <c r="E168" s="11">
        <f t="shared" si="7"/>
        <v>0</v>
      </c>
      <c r="F168" s="11">
        <f t="shared" si="5"/>
        <v>-21000000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99</v>
      </c>
      <c r="E169" s="11">
        <f t="shared" si="7"/>
        <v>0</v>
      </c>
      <c r="F169" s="11">
        <f t="shared" si="5"/>
        <v>-19800000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96</v>
      </c>
      <c r="E170" s="11">
        <f t="shared" si="7"/>
        <v>0</v>
      </c>
      <c r="F170" s="11">
        <f t="shared" si="5"/>
        <v>-19200000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96</v>
      </c>
      <c r="E171" s="11">
        <f t="shared" si="7"/>
        <v>1</v>
      </c>
      <c r="F171" s="11">
        <f t="shared" si="5"/>
        <v>285000000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93</v>
      </c>
      <c r="E172" s="11">
        <f t="shared" si="7"/>
        <v>0</v>
      </c>
      <c r="F172" s="11">
        <f t="shared" si="5"/>
        <v>-18600000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92</v>
      </c>
      <c r="E173" s="11">
        <f t="shared" si="7"/>
        <v>1</v>
      </c>
      <c r="F173" s="11">
        <f t="shared" si="5"/>
        <v>273000000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91</v>
      </c>
      <c r="E174" s="11">
        <f t="shared" si="7"/>
        <v>1</v>
      </c>
      <c r="F174" s="11">
        <f t="shared" si="5"/>
        <v>180000000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90</v>
      </c>
      <c r="E175" s="11">
        <f t="shared" si="7"/>
        <v>1</v>
      </c>
      <c r="F175" s="11">
        <f t="shared" si="5"/>
        <v>115700000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88</v>
      </c>
      <c r="E176" s="11">
        <f t="shared" si="7"/>
        <v>0</v>
      </c>
      <c r="F176" s="11">
        <f t="shared" si="5"/>
        <v>-17600000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88</v>
      </c>
      <c r="E177" s="11">
        <f t="shared" si="7"/>
        <v>1</v>
      </c>
      <c r="F177" s="11">
        <f t="shared" si="5"/>
        <v>147900000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87</v>
      </c>
      <c r="E178" s="11">
        <f t="shared" si="7"/>
        <v>0</v>
      </c>
      <c r="F178" s="11">
        <f t="shared" si="5"/>
        <v>-17400000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86</v>
      </c>
      <c r="E179" s="11">
        <f t="shared" si="7"/>
        <v>1</v>
      </c>
      <c r="F179" s="11">
        <f t="shared" si="5"/>
        <v>48576820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83</v>
      </c>
      <c r="E180" s="11">
        <f t="shared" si="7"/>
        <v>1</v>
      </c>
      <c r="F180" s="11">
        <f t="shared" si="5"/>
        <v>246000000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76</v>
      </c>
      <c r="E181" s="11">
        <f t="shared" si="7"/>
        <v>1</v>
      </c>
      <c r="F181" s="11">
        <f t="shared" si="5"/>
        <v>150000000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68</v>
      </c>
      <c r="E182" s="11">
        <f t="shared" si="7"/>
        <v>0</v>
      </c>
      <c r="F182" s="11">
        <f t="shared" si="5"/>
        <v>-149647600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56</v>
      </c>
      <c r="E183" s="11">
        <f t="shared" si="7"/>
        <v>1</v>
      </c>
      <c r="F183" s="11">
        <f t="shared" si="5"/>
        <v>37129785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26</v>
      </c>
      <c r="E184" s="11">
        <f t="shared" si="7"/>
        <v>1</v>
      </c>
      <c r="F184" s="11">
        <f t="shared" si="5"/>
        <v>16925000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11</v>
      </c>
      <c r="E185" s="11">
        <f t="shared" si="7"/>
        <v>0</v>
      </c>
      <c r="F185" s="11">
        <f t="shared" si="5"/>
        <v>-110000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6</v>
      </c>
      <c r="E186" s="11">
        <f t="shared" si="7"/>
        <v>0</v>
      </c>
      <c r="F186" s="11">
        <f t="shared" si="5"/>
        <v>-483000000</v>
      </c>
      <c r="G186" s="11" t="s">
        <v>1070</v>
      </c>
    </row>
    <row r="187" spans="1:7" x14ac:dyDescent="0.25">
      <c r="A187" s="11" t="s">
        <v>1069</v>
      </c>
      <c r="B187" s="3">
        <v>-1100000</v>
      </c>
      <c r="C187" s="11">
        <v>1</v>
      </c>
      <c r="D187" s="11">
        <f t="shared" si="8"/>
        <v>1</v>
      </c>
      <c r="E187" s="11">
        <f t="shared" si="7"/>
        <v>0</v>
      </c>
      <c r="F187" s="11">
        <f t="shared" si="5"/>
        <v>-1100000</v>
      </c>
      <c r="G187" s="11" t="s">
        <v>1070</v>
      </c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/>
      <c r="C189" s="11"/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si="5"/>
        <v>0</v>
      </c>
      <c r="G190" s="11"/>
    </row>
    <row r="191" spans="1:7" x14ac:dyDescent="0.25">
      <c r="A191" s="11"/>
      <c r="B191" s="3"/>
      <c r="C191" s="11"/>
      <c r="D191" s="11">
        <f t="shared" si="8"/>
        <v>0</v>
      </c>
      <c r="E191" s="11">
        <f t="shared" si="7"/>
        <v>0</v>
      </c>
      <c r="F191" s="11">
        <f t="shared" si="5"/>
        <v>0</v>
      </c>
      <c r="G191" s="11"/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1616399</v>
      </c>
      <c r="C202" s="11"/>
      <c r="D202" s="11"/>
      <c r="E202" s="11"/>
      <c r="F202" s="29">
        <f>SUM(F2:F200)</f>
        <v>18253408497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27825317.830792684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zoomScaleNormal="100" workbookViewId="0">
      <selection activeCell="J19" sqref="J19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70" t="s">
        <v>8</v>
      </c>
      <c r="S1" s="29" t="s">
        <v>180</v>
      </c>
      <c r="T1" s="29" t="s">
        <v>267</v>
      </c>
      <c r="U1" s="11" t="s">
        <v>183</v>
      </c>
      <c r="V1" s="70" t="s">
        <v>282</v>
      </c>
      <c r="W1" s="70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4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78000000</v>
      </c>
      <c r="O2" s="29">
        <v>145000000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24000000</v>
      </c>
      <c r="O5" s="29">
        <v>40000000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110400000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69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177400000</v>
      </c>
      <c r="O11" s="29">
        <f>SUM(O2:O9)</f>
        <v>200000000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6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3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3">
        <v>73900000</v>
      </c>
      <c r="G13" s="29">
        <f t="shared" si="0"/>
        <v>-2859237.8770112991</v>
      </c>
      <c r="H13" s="11" t="s">
        <v>916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3">
        <f>L26</f>
        <v>85512158.175000012</v>
      </c>
      <c r="G14" s="29">
        <f t="shared" si="0"/>
        <v>-12492746.636218876</v>
      </c>
      <c r="H14" s="11"/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1063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80600000</v>
      </c>
      <c r="F15" s="3"/>
      <c r="G15" s="29"/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82903850</v>
      </c>
      <c r="F16" s="3"/>
      <c r="G16" s="29"/>
      <c r="H16" s="11"/>
      <c r="K16" s="19" t="s">
        <v>300</v>
      </c>
      <c r="L16" s="43">
        <f>'مسکن ایلیا'!B202</f>
        <v>1616399</v>
      </c>
      <c r="M16" s="11" t="s">
        <v>757</v>
      </c>
      <c r="N16" s="29">
        <f>'مسکن مریم یاران'!B127</f>
        <v>7314793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85260695.5</v>
      </c>
      <c r="F17" s="3"/>
      <c r="G17" s="29"/>
      <c r="H17" s="11"/>
      <c r="K17" s="2" t="s">
        <v>454</v>
      </c>
      <c r="L17" s="43">
        <f>'مسکن علی سید الشهدا'!B70</f>
        <v>635093</v>
      </c>
      <c r="M17" s="11" t="s">
        <v>658</v>
      </c>
      <c r="N17" s="29">
        <f>سارا!D156</f>
        <v>671813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87671665.594999999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90137912.653750002</v>
      </c>
      <c r="F19" s="3"/>
      <c r="G19" s="29"/>
      <c r="H19" s="11"/>
      <c r="K19" s="2" t="s">
        <v>85</v>
      </c>
      <c r="L19" s="43">
        <v>-7100000</v>
      </c>
      <c r="M19" s="11" t="s">
        <v>765</v>
      </c>
      <c r="N19" s="29">
        <v>4500000</v>
      </c>
      <c r="S19" s="11"/>
      <c r="T19" s="11" t="s">
        <v>25</v>
      </c>
      <c r="U19" s="11"/>
      <c r="V19" s="70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92660612.791143507</v>
      </c>
      <c r="F20" s="3"/>
      <c r="G20" s="29"/>
      <c r="H20" s="11"/>
      <c r="K20" s="2" t="s">
        <v>457</v>
      </c>
      <c r="L20" s="43">
        <v>550000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95240966.350128055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7100000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97880198.393323928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100579559.20454563</v>
      </c>
      <c r="F23" s="3"/>
      <c r="G23" s="29"/>
      <c r="H23" s="11"/>
      <c r="I23" s="7"/>
      <c r="J23" s="28"/>
      <c r="K23" s="2" t="s">
        <v>953</v>
      </c>
      <c r="L23" s="43">
        <f>'لیست خرید و فروش'!C69</f>
        <v>171208508.67500001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103340324.80042534</v>
      </c>
      <c r="F24" s="3"/>
      <c r="G24" s="11"/>
      <c r="H24" s="11"/>
      <c r="J24" s="55"/>
      <c r="K24" s="11" t="s">
        <v>1060</v>
      </c>
      <c r="L24" s="43">
        <f>-'لیست خرید و فروش'!F89</f>
        <v>-87197842.5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106163797.45234053</v>
      </c>
      <c r="F25" s="3"/>
      <c r="G25" s="11"/>
      <c r="H25" s="11"/>
      <c r="J25" s="25"/>
      <c r="K25" s="11"/>
      <c r="L25" s="43"/>
      <c r="M25" s="11" t="s">
        <v>1061</v>
      </c>
      <c r="N25" s="29">
        <f>-L24</f>
        <v>87197842.5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109051306.21885309</v>
      </c>
      <c r="F26" s="3"/>
      <c r="G26" s="11"/>
      <c r="H26" s="11"/>
      <c r="J26" s="25"/>
      <c r="K26" s="2" t="s">
        <v>599</v>
      </c>
      <c r="L26" s="3">
        <f>SUM(L16:L24)</f>
        <v>85512158.175000012</v>
      </c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112004207.48887053</v>
      </c>
      <c r="F27" s="3"/>
      <c r="G27" s="11"/>
      <c r="H27" s="11"/>
      <c r="J27" s="25"/>
      <c r="K27" s="2" t="s">
        <v>600</v>
      </c>
      <c r="L27" s="3">
        <f>L16+L17+L20</f>
        <v>2801492</v>
      </c>
      <c r="M27" s="11"/>
      <c r="N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115023885.53574474</v>
      </c>
      <c r="F28" s="3"/>
      <c r="G28" s="11"/>
      <c r="H28" s="11"/>
      <c r="K28" s="56" t="s">
        <v>719</v>
      </c>
      <c r="L28" s="1">
        <f>L26+N7</f>
        <v>142512158.17500001</v>
      </c>
      <c r="M28" s="29" t="s">
        <v>6</v>
      </c>
      <c r="N28" s="29">
        <f>SUM(N16:N27)</f>
        <v>146834448.5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118111753.08252741</v>
      </c>
      <c r="F29" s="3"/>
      <c r="G29" s="11"/>
      <c r="H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121269251.87860641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124497853.28795128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127799058.88920076</v>
      </c>
      <c r="F32" s="3"/>
      <c r="G32" s="11"/>
      <c r="H32" s="11"/>
      <c r="J32" s="55"/>
      <c r="M32" s="26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131174401.08783013</v>
      </c>
      <c r="F33" s="3"/>
      <c r="G33" s="11"/>
      <c r="H33" s="11"/>
      <c r="J33" s="25"/>
      <c r="K33" s="3"/>
      <c r="L33" s="11" t="s">
        <v>305</v>
      </c>
      <c r="M33" s="25"/>
      <c r="N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134625443.74064055</v>
      </c>
      <c r="F34" s="3"/>
      <c r="G34" s="11"/>
      <c r="H34" s="11"/>
      <c r="K34" s="1" t="s">
        <v>306</v>
      </c>
      <c r="L34" s="1">
        <v>70000</v>
      </c>
      <c r="M34" s="25"/>
      <c r="N34" t="s">
        <v>25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138153782.79281771</v>
      </c>
      <c r="F35" s="3"/>
      <c r="G35" s="11"/>
      <c r="H35" s="11"/>
      <c r="K35" s="1" t="s">
        <v>322</v>
      </c>
      <c r="L35" s="1">
        <v>100000</v>
      </c>
      <c r="M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141761046.92781207</v>
      </c>
      <c r="F36" s="3"/>
      <c r="G36" s="11"/>
      <c r="H36" s="11"/>
      <c r="K36" s="1" t="s">
        <v>307</v>
      </c>
      <c r="L36" s="1">
        <v>80000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145448898.23029768</v>
      </c>
      <c r="F37" s="3"/>
      <c r="G37" s="11"/>
      <c r="H37" s="11"/>
      <c r="K37" s="31" t="s">
        <v>308</v>
      </c>
      <c r="L37" s="1">
        <v>150000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149219032.86247233</v>
      </c>
      <c r="F38" s="3"/>
      <c r="G38" s="11"/>
      <c r="H38" s="11"/>
      <c r="K38" s="31" t="s">
        <v>309</v>
      </c>
      <c r="L38" s="1">
        <v>300000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153073181.75396612</v>
      </c>
      <c r="F39" s="3"/>
      <c r="G39" s="11"/>
      <c r="H39" s="11"/>
      <c r="K39" s="31" t="s">
        <v>310</v>
      </c>
      <c r="L39" s="1">
        <v>100000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157013111.30563226</v>
      </c>
      <c r="F40" s="3"/>
      <c r="G40" s="11"/>
      <c r="H40" s="11"/>
      <c r="K40" s="31" t="s">
        <v>311</v>
      </c>
      <c r="L40" s="1">
        <v>200000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161040624.10749757</v>
      </c>
      <c r="F41" s="3"/>
      <c r="G41" s="11"/>
      <c r="H41" s="11"/>
      <c r="K41" s="18" t="s">
        <v>312</v>
      </c>
      <c r="L41" s="18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165157559.67115775</v>
      </c>
      <c r="F42" s="3"/>
      <c r="G42" s="11"/>
      <c r="H42" s="11"/>
      <c r="K42" s="32" t="s">
        <v>313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169365795.1769062</v>
      </c>
      <c r="F43" s="3"/>
      <c r="G43" s="11"/>
      <c r="H43" s="11"/>
      <c r="K43" s="32" t="s">
        <v>314</v>
      </c>
      <c r="L43" s="1">
        <v>20000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173667246.23589286</v>
      </c>
      <c r="F44" s="3"/>
      <c r="G44" s="11"/>
      <c r="H44" s="11"/>
      <c r="K44" s="32" t="s">
        <v>316</v>
      </c>
      <c r="L44" s="1">
        <v>50000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178063867.66761377</v>
      </c>
      <c r="F45" s="3"/>
      <c r="G45" s="11"/>
      <c r="H45" s="11"/>
      <c r="K45" s="32" t="s">
        <v>317</v>
      </c>
      <c r="L45" s="1">
        <v>90000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182557654.29303911</v>
      </c>
      <c r="F46" s="3"/>
      <c r="G46" s="11"/>
      <c r="H46" s="11"/>
      <c r="K46" s="32" t="s">
        <v>318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187150641.74369368</v>
      </c>
      <c r="F47" s="3"/>
      <c r="G47" s="11"/>
      <c r="H47" s="11"/>
      <c r="K47" s="32" t="s">
        <v>328</v>
      </c>
      <c r="L47" s="1">
        <v>150000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191844907.2870093</v>
      </c>
      <c r="F48" s="3"/>
      <c r="G48" s="11"/>
      <c r="H48" s="11" t="s">
        <v>612</v>
      </c>
      <c r="K48" s="32" t="s">
        <v>319</v>
      </c>
      <c r="L48" s="1">
        <v>15000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196642570.66827562</v>
      </c>
      <c r="F49" s="3"/>
      <c r="G49" s="11"/>
      <c r="H49" s="11"/>
      <c r="K49" s="32" t="s">
        <v>320</v>
      </c>
      <c r="L49" s="1">
        <v>20000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201545794.96952257</v>
      </c>
      <c r="F50" s="51"/>
      <c r="G50" s="11"/>
      <c r="H50" s="11"/>
      <c r="K50" s="32" t="s">
        <v>321</v>
      </c>
      <c r="L50" s="1">
        <v>40000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206556787.48567325</v>
      </c>
      <c r="F51" s="3"/>
      <c r="G51" s="11"/>
      <c r="H51" s="11"/>
      <c r="K51" s="32" t="s">
        <v>323</v>
      </c>
      <c r="L51" s="1">
        <v>150000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211677800.61831456</v>
      </c>
      <c r="F52" s="3"/>
      <c r="G52" s="11"/>
      <c r="H52" s="11"/>
      <c r="K52" s="32" t="s">
        <v>325</v>
      </c>
      <c r="L52" s="1">
        <v>75000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216911132.78743798</v>
      </c>
      <c r="F53" s="3"/>
      <c r="G53" s="11"/>
      <c r="H53" s="11"/>
      <c r="K53" s="32" t="s">
        <v>315</v>
      </c>
      <c r="L53" s="1">
        <v>140000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222259129.36151141</v>
      </c>
      <c r="F54" s="3"/>
      <c r="G54" s="11"/>
      <c r="H54" s="11"/>
      <c r="K54" s="2" t="s">
        <v>479</v>
      </c>
      <c r="L54" s="3">
        <v>830000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227724183.60624957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233308737.65245757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239015283.48333055</v>
      </c>
      <c r="F57" s="3"/>
      <c r="G57" s="11"/>
      <c r="H57" s="11"/>
      <c r="K57" s="2" t="s">
        <v>6</v>
      </c>
      <c r="L57" s="3">
        <f>SUM(L34:L55)</f>
        <v>3130000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244846363.94159925</v>
      </c>
      <c r="F58" s="3"/>
      <c r="G58" s="11"/>
      <c r="H58" s="11"/>
      <c r="K58" s="2" t="s">
        <v>329</v>
      </c>
      <c r="L58" s="3">
        <f>L57/30</f>
        <v>104333.33333333333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250804573.75691932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256892560.59391072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263113026.12126046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269468727.10231191</v>
      </c>
      <c r="F62" s="3"/>
      <c r="G62" s="11"/>
      <c r="H62" s="11"/>
    </row>
    <row r="63" spans="1:12" x14ac:dyDescent="0.25">
      <c r="E63" s="26"/>
    </row>
    <row r="64" spans="1:12" x14ac:dyDescent="0.25">
      <c r="E64" s="26"/>
      <c r="K64" s="48" t="s">
        <v>800</v>
      </c>
      <c r="L64" s="48" t="s">
        <v>477</v>
      </c>
    </row>
    <row r="65" spans="1:12" x14ac:dyDescent="0.25">
      <c r="K65" s="47">
        <v>500000</v>
      </c>
      <c r="L65" s="48" t="s">
        <v>480</v>
      </c>
    </row>
    <row r="66" spans="1:12" x14ac:dyDescent="0.25">
      <c r="K66" s="47">
        <v>130000</v>
      </c>
      <c r="L66" s="48" t="s">
        <v>559</v>
      </c>
    </row>
    <row r="67" spans="1:12" x14ac:dyDescent="0.25">
      <c r="A67" t="s">
        <v>25</v>
      </c>
      <c r="K67" s="47">
        <v>300000</v>
      </c>
      <c r="L67" s="48" t="s">
        <v>796</v>
      </c>
    </row>
    <row r="68" spans="1:12" x14ac:dyDescent="0.25">
      <c r="K68" s="47">
        <v>500000</v>
      </c>
      <c r="L68" s="48" t="s">
        <v>797</v>
      </c>
    </row>
    <row r="69" spans="1:12" x14ac:dyDescent="0.25">
      <c r="K69" s="47">
        <v>500000</v>
      </c>
      <c r="L69" s="48" t="s">
        <v>798</v>
      </c>
    </row>
    <row r="70" spans="1:12" x14ac:dyDescent="0.25">
      <c r="K70" s="47">
        <v>75000</v>
      </c>
      <c r="L70" s="48" t="s">
        <v>799</v>
      </c>
    </row>
    <row r="71" spans="1:12" x14ac:dyDescent="0.25">
      <c r="K71" s="47">
        <v>450000</v>
      </c>
      <c r="L71" s="48" t="s">
        <v>801</v>
      </c>
    </row>
    <row r="72" spans="1:12" x14ac:dyDescent="0.25">
      <c r="K72" s="47">
        <v>500000</v>
      </c>
      <c r="L72" s="48" t="s">
        <v>565</v>
      </c>
    </row>
    <row r="73" spans="1:12" x14ac:dyDescent="0.25">
      <c r="K73" s="47">
        <v>50000</v>
      </c>
      <c r="L73" s="48" t="s">
        <v>804</v>
      </c>
    </row>
    <row r="74" spans="1:12" x14ac:dyDescent="0.25">
      <c r="K74" s="47">
        <v>140000</v>
      </c>
      <c r="L74" s="48" t="s">
        <v>315</v>
      </c>
    </row>
    <row r="75" spans="1:12" x14ac:dyDescent="0.25">
      <c r="K75" s="47">
        <f>SUM(K65:K74)</f>
        <v>3145000</v>
      </c>
      <c r="L75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393</v>
      </c>
      <c r="F2">
        <v>1</v>
      </c>
      <c r="G2">
        <f>B2*(E2-F2)</f>
        <v>19600000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387</v>
      </c>
      <c r="F3">
        <v>1</v>
      </c>
      <c r="G3">
        <f t="shared" ref="G3:G21" si="1">B3*(E3-F3)</f>
        <v>5790000000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385</v>
      </c>
      <c r="F4">
        <v>0</v>
      </c>
      <c r="G4">
        <f t="shared" si="1"/>
        <v>-1155000000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384</v>
      </c>
      <c r="F5">
        <v>0</v>
      </c>
      <c r="G5">
        <f t="shared" si="1"/>
        <v>-1229145600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382</v>
      </c>
      <c r="F6">
        <v>0</v>
      </c>
      <c r="G6">
        <f t="shared" si="1"/>
        <v>-1146343800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380</v>
      </c>
      <c r="F7">
        <v>0</v>
      </c>
      <c r="G7">
        <f t="shared" si="1"/>
        <v>-2206242000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358</v>
      </c>
      <c r="F8">
        <v>0</v>
      </c>
      <c r="G8">
        <f t="shared" si="1"/>
        <v>19481286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86</v>
      </c>
      <c r="F9">
        <v>1</v>
      </c>
      <c r="G9">
        <f>B9*(E9-F9)</f>
        <v>-6800000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21</v>
      </c>
      <c r="F10">
        <v>1</v>
      </c>
      <c r="G10">
        <f t="shared" si="1"/>
        <v>17000000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7</v>
      </c>
      <c r="F11">
        <v>1</v>
      </c>
      <c r="G11">
        <f t="shared" si="1"/>
        <v>-4200000</v>
      </c>
    </row>
    <row r="12" spans="1:7" x14ac:dyDescent="0.25">
      <c r="A12" t="s">
        <v>941</v>
      </c>
      <c r="B12" s="3">
        <v>1000000</v>
      </c>
      <c r="C12" t="s">
        <v>944</v>
      </c>
      <c r="D12">
        <v>1</v>
      </c>
      <c r="E12">
        <f t="shared" si="0"/>
        <v>1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1166717</v>
      </c>
      <c r="G27" s="7">
        <f>SUM(G2:G21)</f>
        <v>98349886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250254.16284987278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اسفند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2018-03-18T15:52:36Z</dcterms:modified>
</cp:coreProperties>
</file>