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AI126" i="18" l="1"/>
  <c r="AI95" i="18"/>
  <c r="V23" i="18" l="1"/>
  <c r="V21" i="18"/>
  <c r="V22" i="18"/>
  <c r="V24" i="18"/>
  <c r="V25" i="18"/>
  <c r="V26" i="18"/>
  <c r="V27" i="18"/>
  <c r="V20" i="18"/>
  <c r="V39" i="18"/>
  <c r="V40" i="18"/>
  <c r="V41" i="18"/>
  <c r="V42" i="18"/>
  <c r="V43" i="18"/>
  <c r="V44" i="18"/>
  <c r="V45" i="18"/>
  <c r="V46" i="18"/>
  <c r="V38" i="18"/>
  <c r="AI89" i="18" l="1"/>
  <c r="AI122" i="18"/>
  <c r="Q48" i="18" l="1"/>
  <c r="Q29" i="18"/>
  <c r="Q53" i="18"/>
  <c r="N24" i="18"/>
  <c r="P24" i="18"/>
  <c r="N40" i="18"/>
  <c r="D70" i="50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C8" i="36"/>
  <c r="AC28" i="18" l="1"/>
  <c r="AD28" i="18" s="1"/>
  <c r="AK120" i="18"/>
  <c r="AK119" i="18" s="1"/>
  <c r="P21" i="18"/>
  <c r="N21" i="18" s="1"/>
  <c r="S21" i="18"/>
  <c r="S22" i="18" s="1"/>
  <c r="S23" i="18" l="1"/>
  <c r="S24" i="18" s="1"/>
  <c r="S25" i="18" s="1"/>
  <c r="S26" i="18" s="1"/>
  <c r="S27" i="18" s="1"/>
  <c r="AL119" i="18"/>
  <c r="AK118" i="18"/>
  <c r="P20" i="18"/>
  <c r="N20" i="18" s="1"/>
  <c r="N43" i="18"/>
  <c r="AL118" i="18" l="1"/>
  <c r="AK117" i="18"/>
  <c r="AL117" i="18" l="1"/>
  <c r="AK116" i="18"/>
  <c r="AC27" i="18"/>
  <c r="AD27" i="18" s="1"/>
  <c r="N42" i="18"/>
  <c r="AK115" i="18" l="1"/>
  <c r="AL116" i="18"/>
  <c r="R53" i="18"/>
  <c r="AL115" i="18" l="1"/>
  <c r="AK114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114" i="18" l="1"/>
  <c r="AK113" i="18"/>
  <c r="AC24" i="18"/>
  <c r="AD24" i="18" s="1"/>
  <c r="N45" i="18"/>
  <c r="AC26" i="18"/>
  <c r="AD26" i="18" s="1"/>
  <c r="D73" i="48"/>
  <c r="N44" i="18"/>
  <c r="AC25" i="18"/>
  <c r="AD25" i="18" s="1"/>
  <c r="P23" i="18"/>
  <c r="N23" i="18" s="1"/>
  <c r="AD31" i="18" l="1"/>
  <c r="AL113" i="18"/>
  <c r="AK112" i="18"/>
  <c r="N31" i="18"/>
  <c r="AK111" i="18" l="1"/>
  <c r="AL112" i="18"/>
  <c r="P50" i="18"/>
  <c r="AK110" i="18" l="1"/>
  <c r="AL111" i="18"/>
  <c r="T16" i="49"/>
  <c r="AK109" i="18" l="1"/>
  <c r="AL110" i="18"/>
  <c r="P16" i="49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N23" i="33"/>
  <c r="D23" i="33" s="1"/>
  <c r="AK108" i="18" l="1"/>
  <c r="AL109" i="18"/>
  <c r="K23" i="33"/>
  <c r="G23" i="33"/>
  <c r="C23" i="33"/>
  <c r="B23" i="33"/>
  <c r="I23" i="33"/>
  <c r="L23" i="33"/>
  <c r="H23" i="33"/>
  <c r="R23" i="33"/>
  <c r="J23" i="33"/>
  <c r="F23" i="33"/>
  <c r="E23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AK107" i="18" l="1"/>
  <c r="AL108" i="18"/>
  <c r="Q19" i="49"/>
  <c r="P19" i="49" s="1"/>
  <c r="S17" i="49"/>
  <c r="R17" i="49" s="1"/>
  <c r="U16" i="49"/>
  <c r="U17" i="49" s="1"/>
  <c r="T17" i="49" s="1"/>
  <c r="U18" i="49" s="1"/>
  <c r="T18" i="49" s="1"/>
  <c r="P22" i="18"/>
  <c r="N22" i="18" s="1"/>
  <c r="N41" i="18"/>
  <c r="P19" i="18"/>
  <c r="N19" i="18" s="1"/>
  <c r="B263" i="15"/>
  <c r="AI127" i="18" l="1"/>
  <c r="AK106" i="18"/>
  <c r="AL106" i="18" s="1"/>
  <c r="AL107" i="18"/>
  <c r="Q20" i="49"/>
  <c r="P20" i="49" s="1"/>
  <c r="S18" i="49"/>
  <c r="R18" i="49" s="1"/>
  <c r="U19" i="49"/>
  <c r="T19" i="49" s="1"/>
  <c r="S39" i="18"/>
  <c r="S40" i="18" s="1"/>
  <c r="S41" i="18" s="1"/>
  <c r="S42" i="18" l="1"/>
  <c r="S43" i="18" s="1"/>
  <c r="S44" i="18" s="1"/>
  <c r="S45" i="18" s="1"/>
  <c r="S46" i="18" s="1"/>
  <c r="AL122" i="18"/>
  <c r="AM122" i="18" s="1"/>
  <c r="Q21" i="49"/>
  <c r="P21" i="49" s="1"/>
  <c r="S19" i="49"/>
  <c r="R19" i="49" s="1"/>
  <c r="S20" i="49" s="1"/>
  <c r="R20" i="49" s="1"/>
  <c r="S21" i="49" s="1"/>
  <c r="R21" i="49" s="1"/>
  <c r="U20" i="49"/>
  <c r="T20" i="49" s="1"/>
  <c r="AI128" i="18" l="1"/>
  <c r="AI129" i="18" s="1"/>
  <c r="AI125" i="18"/>
  <c r="Q22" i="49"/>
  <c r="P22" i="49"/>
  <c r="U21" i="49"/>
  <c r="T21" i="49" s="1"/>
  <c r="S22" i="49"/>
  <c r="R22" i="49" s="1"/>
  <c r="P39" i="18"/>
  <c r="Q23" i="49" l="1"/>
  <c r="P23" i="49"/>
  <c r="U22" i="49"/>
  <c r="T22" i="49" s="1"/>
  <c r="S23" i="49"/>
  <c r="R23" i="49" s="1"/>
  <c r="Q24" i="49" l="1"/>
  <c r="P24" i="49" s="1"/>
  <c r="U23" i="49"/>
  <c r="T23" i="49" s="1"/>
  <c r="S24" i="49"/>
  <c r="R24" i="49" s="1"/>
  <c r="C267" i="20"/>
  <c r="Q25" i="49" l="1"/>
  <c r="P25" i="49" s="1"/>
  <c r="U24" i="49"/>
  <c r="T24" i="49" s="1"/>
  <c r="S25" i="49"/>
  <c r="R25" i="49" s="1"/>
  <c r="B8" i="36"/>
  <c r="Q26" i="49" l="1"/>
  <c r="P26" i="49" s="1"/>
  <c r="U25" i="49"/>
  <c r="T25" i="49" s="1"/>
  <c r="S26" i="49"/>
  <c r="R26" i="49" s="1"/>
  <c r="B10" i="36"/>
  <c r="U26" i="49" l="1"/>
  <c r="T26" i="49" s="1"/>
  <c r="N25" i="33" l="1"/>
  <c r="N24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L29" i="18"/>
  <c r="K236" i="20" l="1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J234" i="20" s="1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K235" i="20" l="1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9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27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0" i="18"/>
  <c r="AK76" i="18" l="1"/>
  <c r="AL77" i="18"/>
  <c r="AK75" i="18" l="1"/>
  <c r="AL76" i="18"/>
  <c r="N38" i="18"/>
  <c r="AI96" i="18" l="1"/>
  <c r="AK74" i="18"/>
  <c r="AL75" i="18"/>
  <c r="AK73" i="18" l="1"/>
  <c r="AL74" i="18"/>
  <c r="R59" i="18"/>
  <c r="AK72" i="18" l="1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K51" i="18"/>
  <c r="AL52" i="18"/>
  <c r="D27" i="48"/>
  <c r="E253" i="15"/>
  <c r="E252" i="15"/>
  <c r="I33" i="48" l="1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AL89" i="18" s="1"/>
  <c r="AM89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I94" i="18" l="1"/>
  <c r="AI98" i="18" s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3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3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2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4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3" i="18" l="1"/>
  <c r="L52" i="18"/>
  <c r="E33" i="13"/>
  <c r="G34" i="13"/>
  <c r="I97" i="20"/>
  <c r="K97" i="20"/>
  <c r="J97" i="20"/>
  <c r="F108" i="15"/>
  <c r="C20" i="18"/>
  <c r="G20" i="14"/>
  <c r="G21" i="14"/>
  <c r="L54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<sst xmlns="http://schemas.openxmlformats.org/spreadsheetml/2006/main" count="9346" uniqueCount="4433">
  <si>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</si>
  <si>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</si>
  <si>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</si>
  <si>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</si>
  <si>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</si>
  <si>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</si>
  <si>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</si>
  <si>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</si>
  <si>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</si>
  <si>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</si>
  <si>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</si>
  <si>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</si>
  <si>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</si>
  <si>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</si>
  <si>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</si>
  <si>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</si>
  <si>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</si>
  <si>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</si>
  <si>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</si>
  <si>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</si>
  <si>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</si>
  <si>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</si>
  <si>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</si>
  <si>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</si>
  <si>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</si>
  <si>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</si>
  <si>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</si>
  <si>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</si>
  <si>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</si>
  <si>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</si>
  <si>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</si>
  <si>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</si>
  <si>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</si>
  <si>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</si>
  <si>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</si>
  <si>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</si>
  <si>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</si>
  <si>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</si>
  <si>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</si>
  <si>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</si>
  <si>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</si>
  <si>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</si>
  <si>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</si>
  <si>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</si>
  <si>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</si>
  <si>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</si>
  <si>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</si>
  <si>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</si>
  <si>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</si>
  <si>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</si>
  <si>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</si>
  <si>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</si>
  <si>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</si>
  <si>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</si>
  <si>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</si>
  <si>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</si>
  <si>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</si>
  <si>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</si>
  <si>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</si>
  <si>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</si>
  <si>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</si>
  <si>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</si>
  <si>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</si>
  <si>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</si>
  <si>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</si>
  <si>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</si>
  <si>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</si>
  <si>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</si>
  <si>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</si>
  <si>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</si>
  <si>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</si>
  <si>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</si>
  <si>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</si>
  <si>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</si>
  <si>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</si>
  <si>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</si>
  <si>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</si>
  <si>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</si>
  <si>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</si>
  <si>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</si>
  <si>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</si>
  <si>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</si>
  <si>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</si>
  <si>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</si>
  <si>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</si>
  <si>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</si>
  <si>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</si>
  <si>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</si>
  <si>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</si>
  <si>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</si>
  <si>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</si>
  <si>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</si>
  <si>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</si>
  <si>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</si>
  <si>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</si>
  <si>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</si>
  <si>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</si>
  <si>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</si>
  <si>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</si>
  <si>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</si>
  <si>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</si>
  <si>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</si>
  <si>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</si>
  <si>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</si>
  <si>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</si>
  <si>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</si>
  <si>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</si>
  <si>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</si>
  <si>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</si>
  <si>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</si>
  <si>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</si>
  <si>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</si>
  <si>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</si>
  <si>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</si>
  <si>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</si>
  <si>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</si>
  <si>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</si>
  <si>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</si>
  <si>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</si>
  <si>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</si>
  <si>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</si>
  <si>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</si>
  <si>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</si>
  <si>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</si>
  <si>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</si>
  <si>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</si>
  <si>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</si>
  <si>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</si>
  <si>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</si>
  <si>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</si>
  <si>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</si>
  <si>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</si>
  <si>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</si>
  <si>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</si>
  <si>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</si>
  <si>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</si>
  <si>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</si>
  <si>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</si>
  <si>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</si>
  <si>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</si>
  <si>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</si>
  <si>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</si>
  <si>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</si>
  <si>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</si>
  <si>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</si>
  <si>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</si>
  <si>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</si>
  <si>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</si>
  <si>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</si>
  <si>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</si>
  <si>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</si>
  <si>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</si>
  <si>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</si>
  <si>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</si>
  <si>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</si>
  <si>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</si>
  <si>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</si>
  <si>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</si>
  <si>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</si>
  <si>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</si>
  <si>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</si>
  <si>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</si>
  <si>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</si>
  <si>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</si>
  <si>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</si>
  <si>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</si>
  <si>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</si>
  <si>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</si>
  <si>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</si>
  <si>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</si>
  <si>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</si>
  <si>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</si>
  <si>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</si>
  <si>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</si>
  <si>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</si>
  <si>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</si>
  <si>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</si>
  <si>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</si>
  <si>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</si>
  <si>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</si>
  <si>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</si>
  <si>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</si>
  <si>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</si>
  <si>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</si>
  <si>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</si>
  <si>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</si>
  <si>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</si>
  <si>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</si>
  <si>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</si>
  <si>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</si>
  <si>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</si>
  <si>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</si>
  <si>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</si>
  <si>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</si>
  <si>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</si>
  <si>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</si>
  <si>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</si>
  <si>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</si>
  <si>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</si>
  <si>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</si>
  <si>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</si>
  <si>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</si>
  <si>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</si>
  <si>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</si>
  <si>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</si>
  <si>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</si>
  <si>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</si>
  <si>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</si>
  <si>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</si>
  <si>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</si>
  <si>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</si>
  <si>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</si>
  <si>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</si>
  <si>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</si>
  <si>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</si>
  <si>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</si>
  <si>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</si>
  <si>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</si>
  <si>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</si>
  <si>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</si>
  <si>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</si>
  <si>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</si>
  <si>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</si>
  <si>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</si>
  <si>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</si>
  <si>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</si>
  <si>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</si>
  <si>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</si>
  <si>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</si>
  <si>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</si>
  <si>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</si>
  <si>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</si>
  <si>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</si>
  <si>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</si>
  <si>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</si>
  <si>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</si>
  <si>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</si>
  <si>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</si>
  <si>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</si>
  <si>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</si>
  <si>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</si>
  <si>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</si>
  <si>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</si>
  <si>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</si>
  <si>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</si>
  <si>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</si>
  <si>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</si>
  <si>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</si>
  <si>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</si>
  <si>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</si>
  <si>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</si>
  <si>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</si>
  <si>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</si>
  <si>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</si>
  <si>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</si>
  <si>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</si>
  <si>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</si>
  <si>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</si>
  <si>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</si>
  <si>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</si>
  <si>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</si>
  <si>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</si>
  <si>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</si>
  <si>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</si>
  <si>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</si>
  <si>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</si>
  <si>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</si>
  <si>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</si>
  <si>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</si>
  <si>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</si>
  <si>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</si>
  <si>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</si>
  <si>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</si>
  <si>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</si>
  <si>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</si>
  <si>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</si>
  <si>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</si>
  <si>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</si>
  <si>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</si>
  <si>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</si>
  <si>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</si>
  <si>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</si>
  <si>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</si>
  <si>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</si>
  <si>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</si>
  <si>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</si>
  <si>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</si>
  <si>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</si>
  <si>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</si>
  <si>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</si>
  <si>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</si>
  <si>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</si>
  <si>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</si>
  <si>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</si>
  <si>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</si>
  <si>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</si>
  <si>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</si>
  <si>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</si>
  <si>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</si>
  <si>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</si>
  <si>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</si>
  <si>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</si>
  <si>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</si>
  <si>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</si>
  <si>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</si>
  <si>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</si>
  <si>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</si>
  <si>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</si>
  <si>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</si>
  <si>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</si>
  <si>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</si>
  <si>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</si>
  <si>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</si>
  <si>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</si>
  <si>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</si>
  <si>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</si>
  <si>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</si>
  <si>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</si>
  <si>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</si>
  <si>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</si>
  <si>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</si>
  <si>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</si>
  <si>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</si>
  <si>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</si>
  <si>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</si>
  <si>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</si>
  <si>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</si>
  <si>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</si>
  <si>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</si>
  <si>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</si>
  <si>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</si>
  <si>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</si>
  <si>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</si>
  <si>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</si>
  <si>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</si>
  <si>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</si>
  <si>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</si>
  <si>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</si>
  <si>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</si>
  <si>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</si>
  <si>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</si>
  <si>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</si>
  <si>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</si>
  <si>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</si>
  <si>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</si>
  <si>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</si>
  <si>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</si>
  <si>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</si>
  <si>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</si>
  <si>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</si>
  <si>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</si>
  <si>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</si>
  <si>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</si>
  <si>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</si>
  <si>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</si>
  <si>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</si>
  <si>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</si>
  <si>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</si>
  <si>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</si>
  <si>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</si>
  <si>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</si>
  <si>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</si>
  <si>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</si>
  <si>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</si>
  <si>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</si>
  <si>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</si>
  <si>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</si>
  <si>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</si>
  <si>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</si>
  <si>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</si>
  <si>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</si>
  <si>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</si>
  <si>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</si>
  <si>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</si>
  <si>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</si>
  <si>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</si>
  <si>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</si>
  <si>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</si>
  <si>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</si>
  <si>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</si>
  <si>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</si>
  <si>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</si>
  <si>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</si>
  <si>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</si>
  <si>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</si>
  <si>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</si>
  <si>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</si>
  <si>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</si>
  <si>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</si>
  <si>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</si>
  <si>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</si>
  <si>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</si>
  <si>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</si>
  <si>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</si>
  <si>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</si>
  <si>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</si>
  <si>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</si>
  <si>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</si>
  <si>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</si>
  <si>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</si>
  <si>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</si>
  <si>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</si>
  <si>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</si>
  <si>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</si>
  <si>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</si>
  <si>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</si>
  <si>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</si>
  <si>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</si>
  <si>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</si>
  <si>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</si>
  <si>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</si>
  <si>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</si>
  <si>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</si>
  <si>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</si>
  <si>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</si>
  <si>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</si>
  <si>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</si>
  <si>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</si>
  <si>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</si>
  <si>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</si>
  <si>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</si>
  <si>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</si>
  <si>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</si>
  <si>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</si>
  <si>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</si>
  <si>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</si>
  <si>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</si>
  <si>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</si>
  <si>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</si>
  <si>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</si>
  <si>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</si>
  <si>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</si>
  <si>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</si>
  <si>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</si>
  <si>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</si>
  <si>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</si>
  <si>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</si>
  <si>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</si>
  <si>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</si>
  <si>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</si>
  <si>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</si>
  <si>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</si>
  <si>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</si>
  <si>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</si>
  <si>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</si>
  <si>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</si>
  <si>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</si>
  <si>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</si>
  <si>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</si>
  <si>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</si>
  <si>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</si>
  <si>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</si>
  <si>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</si>
  <si>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</si>
  <si>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</si>
  <si>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</si>
  <si>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</si>
  <si>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</si>
  <si>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</si>
  <si>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</si>
  <si>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</si>
  <si>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</si>
  <si>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</si>
  <si>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</si>
  <si>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</si>
  <si>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</si>
  <si>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</si>
  <si>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</si>
  <si>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</si>
  <si>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</si>
  <si>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</si>
  <si>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</si>
  <si>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</si>
  <si>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</si>
  <si>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</si>
  <si>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</si>
  <si>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</si>
  <si>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</si>
  <si>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</si>
  <si>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</si>
  <si>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</si>
  <si>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</si>
  <si>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</si>
  <si>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</si>
  <si>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</si>
  <si>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</si>
  <si>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</si>
  <si>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</si>
  <si>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</si>
  <si>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</si>
  <si>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</si>
  <si>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</si>
  <si>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</si>
  <si>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</si>
  <si>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</si>
  <si>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</si>
  <si>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</si>
  <si>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</si>
  <si>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</si>
  <si>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</si>
  <si>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</si>
  <si>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</si>
  <si>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</si>
  <si>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</si>
  <si>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</si>
  <si>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</si>
  <si>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</si>
  <si>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</si>
  <si>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</si>
  <si>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</si>
  <si>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</si>
  <si>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</si>
  <si>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</si>
  <si>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</si>
  <si>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</si>
  <si>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</si>
  <si>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</si>
  <si>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</si>
  <si>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</si>
  <si>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</si>
  <si>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</si>
  <si>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</si>
  <si>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</si>
  <si>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</si>
  <si>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</si>
  <si>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</si>
  <si>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</si>
  <si>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</si>
  <si>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</si>
  <si>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</si>
  <si>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</si>
  <si>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</si>
  <si>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</si>
  <si>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</si>
  <si>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</si>
  <si>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</si>
  <si>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</si>
  <si>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</si>
  <si>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</si>
  <si>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</si>
  <si>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</si>
  <si>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</si>
  <si>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</si>
  <si>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</si>
  <si>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</si>
  <si>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</si>
  <si>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</si>
  <si>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</si>
  <si>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</si>
  <si>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</si>
  <si>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</si>
  <si>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</si>
  <si>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</si>
  <si>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</si>
  <si>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</si>
  <si>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</si>
  <si>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</si>
  <si>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</si>
  <si>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</si>
  <si>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</si>
  <si>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</si>
  <si>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</si>
  <si>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</si>
  <si>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</si>
  <si>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</si>
  <si>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</si>
  <si>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</si>
  <si>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</si>
  <si>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</si>
  <si>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</si>
  <si>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</si>
  <si>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</si>
  <si>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</si>
  <si>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</si>
  <si>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</si>
  <si>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</si>
  <si>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</si>
  <si>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</si>
  <si>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</si>
  <si>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</si>
  <si>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</si>
  <si>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</si>
  <si>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</si>
  <si>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</si>
  <si>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</si>
  <si>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</si>
  <si>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</si>
  <si>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</si>
  <si>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</si>
  <si>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</si>
  <si>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</si>
  <si>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</si>
  <si>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</si>
  <si>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</si>
  <si>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</si>
  <si>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</si>
  <si>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</si>
  <si>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</si>
  <si>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</si>
  <si>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</si>
  <si>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</si>
  <si>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</si>
  <si>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</si>
  <si>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</si>
  <si>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</si>
  <si>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</si>
  <si>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</si>
  <si>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</si>
  <si>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</si>
  <si>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</si>
  <si>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</si>
  <si>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</si>
  <si>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</si>
  <si>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</si>
  <si>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</si>
  <si>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</si>
  <si>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</si>
  <si>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</si>
  <si>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</si>
  <si>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</si>
  <si>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</si>
  <si>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</si>
  <si>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</si>
  <si>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</si>
  <si>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</si>
  <si>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</si>
  <si>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</si>
  <si>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</si>
  <si>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</si>
  <si>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</si>
  <si>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</si>
  <si>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</si>
  <si>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</si>
  <si>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</si>
  <si>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</si>
  <si>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</si>
  <si>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</si>
  <si>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</si>
  <si>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</si>
  <si>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</si>
  <si>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</si>
  <si>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</si>
  <si>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</si>
  <si>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</si>
  <si>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</si>
  <si>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</si>
  <si>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</si>
  <si>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</si>
  <si>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</si>
  <si>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</si>
  <si>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</si>
  <si>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</si>
  <si>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</si>
  <si>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</si>
  <si>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</si>
  <si>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</si>
  <si>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</si>
  <si>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</si>
  <si>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</si>
  <si>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</si>
  <si>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</si>
  <si>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</si>
  <si>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</si>
  <si>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</si>
  <si>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</si>
  <si>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</si>
  <si>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</si>
  <si>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</si>
  <si>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</si>
  <si>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</si>
  <si>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</si>
  <si>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</si>
  <si>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</si>
  <si>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</si>
  <si>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</si>
  <si>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</si>
  <si>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</si>
  <si>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</si>
  <si>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</si>
  <si>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</si>
  <si>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</si>
  <si>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</si>
  <si>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</si>
  <si>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</si>
  <si>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</si>
  <si>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</si>
  <si>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</si>
  <si>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</si>
  <si>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</si>
  <si>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</si>
  <si>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</si>
  <si>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</si>
  <si>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</si>
  <si>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</si>
  <si>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</si>
  <si>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</si>
  <si>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</si>
  <si>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</si>
  <si>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</si>
  <si>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</si>
  <si>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</si>
  <si>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</si>
  <si>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</si>
  <si>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</si>
  <si>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</si>
  <si>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</si>
  <si>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</si>
  <si>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</si>
  <si>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</si>
  <si>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</si>
  <si>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</si>
  <si>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</si>
  <si>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</si>
  <si>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</si>
  <si>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</si>
  <si>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</si>
  <si>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</si>
  <si>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</si>
  <si>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</si>
  <si>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</si>
  <si>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</si>
  <si>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</si>
  <si>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</si>
  <si>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</si>
  <si>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</si>
  <si>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</si>
  <si>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</si>
  <si>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</si>
  <si>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</si>
  <si>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</si>
  <si>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</si>
  <si>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</si>
  <si>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</si>
  <si>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</si>
  <si>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</si>
  <si>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</si>
  <si>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</si>
  <si>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</si>
  <si>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</si>
  <si>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</si>
  <si>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</si>
  <si>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</si>
  <si>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</si>
  <si>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</si>
  <si>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</si>
  <si>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</si>
  <si>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</si>
  <si>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</si>
  <si>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</si>
  <si>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</si>
  <si>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</si>
  <si>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</si>
  <si>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</si>
  <si>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</si>
  <si>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</si>
  <si>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</si>
  <si>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</si>
  <si>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</si>
  <si>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</si>
  <si>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</si>
  <si>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</si>
  <si>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</si>
  <si>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</si>
  <si>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</si>
  <si>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</si>
  <si>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</si>
  <si>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</si>
  <si>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</si>
  <si>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</si>
  <si>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</si>
  <si>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</si>
  <si>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</si>
  <si>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</si>
  <si>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</si>
  <si>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</si>
  <si>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</si>
  <si>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</si>
  <si>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</si>
  <si>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</si>
  <si>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</si>
  <si>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</si>
  <si>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</si>
  <si>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</si>
  <si>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</si>
  <si>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</si>
  <si>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</si>
  <si>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</si>
  <si>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</si>
  <si>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</si>
  <si>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</si>
  <si>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</si>
  <si>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</si>
  <si>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</si>
  <si>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</si>
  <si>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</si>
  <si>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</si>
  <si>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</si>
  <si>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</si>
  <si>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</si>
  <si>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</si>
  <si>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</si>
  <si>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</si>
  <si>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</si>
  <si>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</si>
  <si>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</si>
  <si>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</si>
  <si>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</si>
  <si>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</si>
  <si>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</si>
  <si>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</si>
  <si>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</si>
  <si>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</si>
  <si>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</si>
  <si>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</si>
  <si>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</si>
  <si>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</si>
  <si>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</si>
  <si>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</si>
  <si>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</si>
  <si>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</si>
  <si>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</si>
  <si>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</si>
  <si>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</si>
  <si>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</si>
  <si>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</si>
  <si>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</si>
  <si>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</si>
  <si>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</si>
  <si>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</si>
  <si>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</si>
  <si>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</si>
  <si>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</si>
  <si>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</si>
  <si>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</si>
  <si>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</si>
  <si>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</si>
  <si>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</si>
  <si>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</si>
  <si>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</si>
  <si>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</si>
  <si>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</si>
  <si>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</si>
  <si>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</si>
  <si>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</si>
  <si>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</si>
  <si>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</si>
  <si>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</si>
  <si>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</si>
  <si>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</si>
  <si>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</si>
  <si>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</si>
  <si>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</si>
  <si>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</si>
  <si>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</si>
  <si>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</si>
  <si>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</si>
  <si>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</si>
  <si>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</si>
  <si>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</si>
  <si>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</si>
  <si>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</si>
  <si>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</si>
  <si>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</si>
  <si>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</si>
  <si>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</si>
  <si>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</si>
  <si>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</si>
  <si>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</si>
  <si>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</si>
  <si>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</si>
  <si>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</si>
  <si>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</si>
  <si>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</si>
  <si>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</si>
  <si>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</si>
  <si>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</si>
  <si>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</si>
  <si>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</si>
  <si>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</si>
  <si>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</si>
  <si>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</si>
  <si>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</si>
  <si>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</si>
  <si>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</si>
  <si>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</si>
  <si>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</si>
  <si>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</si>
  <si>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</si>
  <si>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</si>
  <si>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</si>
  <si>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</si>
  <si>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</si>
  <si>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</si>
  <si>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</si>
  <si>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</si>
  <si>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</si>
  <si>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</si>
  <si>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</si>
  <si>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</si>
  <si>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</si>
  <si>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</si>
  <si>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</si>
  <si>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</si>
  <si>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</si>
  <si>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</si>
  <si>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</si>
  <si>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</si>
  <si>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</si>
  <si>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</si>
  <si>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</si>
  <si>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</si>
  <si>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</si>
  <si>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</si>
  <si>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</si>
  <si>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</si>
  <si>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</si>
  <si>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</si>
  <si>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</si>
  <si>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</si>
  <si>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</si>
  <si>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</si>
  <si>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</si>
  <si>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</si>
  <si>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</si>
  <si>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</si>
  <si>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</si>
  <si>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</si>
  <si>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</si>
  <si>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</si>
  <si>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</si>
  <si>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</si>
  <si>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</si>
  <si>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</si>
  <si>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</si>
  <si>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</si>
  <si>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</si>
  <si>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</si>
  <si>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</si>
  <si>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</si>
  <si>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</si>
  <si>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</si>
  <si>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</si>
  <si>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</si>
  <si>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</si>
  <si>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</si>
  <si>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</si>
  <si>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</si>
  <si>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</si>
  <si>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</si>
  <si>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</si>
  <si>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</si>
  <si>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</si>
  <si>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</si>
  <si>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</si>
  <si>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</si>
  <si>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</si>
  <si>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</si>
  <si>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</si>
  <si>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</si>
  <si>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</si>
  <si>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</si>
  <si>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</si>
  <si>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</si>
  <si>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</si>
  <si>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</si>
  <si>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</si>
  <si>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</si>
  <si>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</si>
  <si>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</si>
  <si>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</si>
  <si>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</si>
  <si>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</si>
  <si>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</si>
  <si>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</si>
  <si>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</si>
  <si>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</si>
  <si>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</si>
  <si>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</si>
  <si>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</si>
  <si>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</si>
  <si>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</si>
  <si>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</si>
  <si>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</si>
  <si>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</si>
  <si>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</si>
  <si>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</si>
  <si>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</si>
  <si>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</si>
  <si>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</si>
  <si>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</si>
  <si>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</si>
  <si>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</si>
  <si>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</si>
  <si>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</si>
  <si>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</si>
  <si>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</si>
  <si>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</si>
  <si>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</si>
  <si>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</si>
  <si>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</si>
  <si>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</si>
  <si>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</si>
  <si>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</si>
  <si>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</si>
  <si>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</si>
  <si>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</si>
  <si>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</si>
  <si>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</si>
  <si>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</si>
  <si>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</si>
  <si>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</si>
  <si>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</si>
  <si>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</si>
  <si>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</si>
  <si>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</si>
  <si>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</si>
  <si>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</si>
  <si>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</si>
  <si>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</si>
  <si>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</si>
  <si>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</si>
  <si>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</si>
  <si>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</si>
  <si>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</si>
  <si>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</si>
  <si>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</si>
  <si>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</si>
  <si>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</si>
  <si>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</si>
  <si>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</si>
  <si>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</si>
  <si>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</si>
  <si>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</si>
  <si>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</si>
  <si>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</si>
  <si>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</si>
  <si>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</si>
  <si>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</si>
  <si>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</si>
  <si>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</si>
  <si>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</si>
  <si>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</si>
  <si>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</si>
  <si>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</si>
  <si>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</si>
  <si>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</si>
  <si>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</si>
  <si>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</si>
  <si>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</si>
  <si>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</si>
  <si>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</si>
  <si>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</si>
  <si>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</si>
  <si>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</si>
  <si>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</si>
  <si>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</si>
  <si>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</si>
  <si>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</si>
  <si>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</si>
  <si>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</si>
  <si>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</si>
  <si>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</si>
  <si>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</si>
  <si>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</si>
  <si>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</si>
  <si>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</si>
  <si>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</si>
  <si>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</si>
  <si>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</si>
  <si>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</si>
  <si>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</si>
  <si>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</si>
  <si>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</si>
  <si>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</si>
  <si>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</si>
  <si>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</si>
  <si>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</si>
  <si>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</si>
  <si>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</si>
  <si>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</si>
  <si>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</si>
  <si>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</si>
  <si>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</si>
  <si>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</si>
  <si>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</si>
  <si>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</si>
  <si>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</si>
  <si>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</si>
  <si>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</si>
  <si>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</si>
  <si>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</si>
  <si>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</si>
  <si>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</si>
  <si>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</si>
  <si>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</si>
  <si>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</si>
  <si>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</si>
  <si>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</si>
  <si>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</si>
  <si>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</si>
  <si>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</si>
  <si>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</si>
  <si>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</si>
  <si>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</si>
  <si>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</si>
  <si>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</si>
  <si>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</si>
  <si>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</si>
  <si>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</si>
  <si>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</si>
  <si>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</si>
  <si>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</si>
  <si>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</si>
  <si>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</si>
  <si>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</si>
  <si>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</si>
  <si>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</si>
  <si>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</si>
  <si>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</si>
  <si>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</si>
  <si>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</si>
  <si>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</si>
  <si>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</si>
  <si>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</si>
  <si>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</si>
  <si>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</si>
  <si>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</si>
  <si>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</si>
  <si>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</si>
  <si>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</si>
  <si>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</si>
  <si>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</si>
  <si>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</si>
  <si>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</si>
  <si>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</si>
  <si>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</si>
  <si>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</si>
  <si>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</si>
  <si>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</si>
  <si>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</si>
  <si>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</si>
  <si>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</si>
  <si>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</si>
  <si>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</si>
  <si>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</si>
  <si>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</si>
  <si>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</si>
  <si>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</si>
  <si>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</si>
  <si>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</si>
  <si>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</si>
  <si>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</si>
  <si>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</si>
  <si>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</si>
  <si>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</si>
  <si>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</si>
  <si>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</si>
  <si>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</si>
  <si>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</si>
  <si>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</si>
  <si>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</si>
  <si>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</si>
  <si>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</si>
  <si>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</si>
  <si>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</si>
  <si>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</si>
  <si>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</si>
  <si>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</si>
  <si>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</si>
  <si>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</si>
  <si>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</si>
  <si>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</si>
  <si>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</si>
  <si>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</si>
  <si>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</si>
  <si>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</si>
  <si>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</si>
  <si>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</si>
  <si>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</si>
  <si>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</si>
  <si>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</si>
  <si>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</si>
  <si>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</si>
  <si>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</si>
  <si>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</si>
  <si>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</si>
  <si>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</si>
  <si>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</si>
  <si>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</si>
  <si>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</si>
  <si>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</si>
  <si>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</si>
  <si>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</si>
  <si>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</si>
  <si>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</si>
  <si>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</si>
  <si>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</si>
  <si>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</si>
  <si>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</si>
  <si>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</si>
  <si>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</si>
  <si>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</si>
  <si>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</si>
  <si>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</si>
  <si>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</si>
  <si>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</si>
  <si>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</si>
  <si>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</si>
  <si>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</si>
  <si>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</si>
  <si>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</si>
  <si>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</si>
  <si>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</si>
  <si>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</si>
  <si>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</si>
  <si>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</si>
  <si>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</si>
  <si>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</si>
  <si>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</si>
  <si>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</si>
  <si>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</si>
  <si>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</si>
  <si>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</si>
  <si>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</si>
  <si>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</si>
  <si>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</si>
  <si>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</si>
  <si>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</si>
  <si>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</si>
  <si>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</si>
  <si>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</si>
  <si>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</si>
  <si>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</si>
  <si>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</si>
  <si>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</si>
  <si>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</si>
  <si>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</si>
  <si>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</si>
  <si>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</si>
  <si>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</si>
  <si>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</si>
  <si>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</si>
  <si>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</si>
  <si>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</si>
  <si>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</si>
  <si>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</si>
  <si>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</si>
  <si>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</si>
  <si>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</si>
  <si>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</si>
  <si>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</si>
  <si>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</si>
  <si>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</si>
  <si>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</si>
  <si>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</si>
  <si>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</si>
  <si>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</si>
  <si>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</si>
  <si>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</si>
  <si>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</si>
  <si>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</si>
  <si>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</si>
  <si>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</si>
  <si>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</si>
  <si>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</si>
  <si>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</si>
  <si>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</si>
  <si>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</si>
  <si>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</si>
  <si>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</si>
  <si>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</si>
  <si>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</si>
  <si>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</si>
  <si>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</si>
  <si>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</si>
  <si>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</si>
  <si>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</si>
  <si>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</si>
  <si>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</si>
  <si>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</si>
  <si>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</si>
  <si>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</si>
  <si>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</si>
  <si>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</si>
  <si>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</si>
  <si>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</si>
  <si>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</si>
  <si>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</si>
  <si>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</si>
  <si>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</si>
  <si>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</si>
  <si>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</si>
  <si>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</si>
  <si>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</si>
  <si>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</si>
  <si>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</si>
  <si>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</si>
  <si>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</si>
  <si>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</si>
  <si>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</si>
  <si>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</si>
  <si>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</si>
  <si>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</si>
  <si>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</si>
  <si>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</si>
  <si>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</si>
  <si>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</si>
  <si>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</si>
  <si>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</si>
  <si>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</si>
  <si>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</si>
  <si>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</si>
  <si>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</si>
  <si>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</si>
  <si>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</si>
  <si>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</si>
  <si>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</si>
  <si>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</si>
  <si>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</si>
  <si>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</si>
  <si>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</si>
  <si>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</si>
  <si>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</si>
  <si>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</si>
  <si>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</si>
  <si>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</si>
  <si>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</si>
  <si>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</si>
  <si>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</si>
  <si>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</si>
  <si>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</si>
  <si>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</si>
  <si>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</si>
  <si>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</si>
  <si>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</si>
  <si>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</si>
  <si>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</si>
  <si>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</si>
  <si>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</si>
  <si>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</si>
  <si>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</si>
  <si>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</si>
  <si>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</si>
  <si>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</si>
  <si>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</si>
  <si>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</si>
  <si>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</si>
  <si>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</si>
  <si>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</si>
  <si>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</si>
  <si>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</si>
  <si>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</si>
  <si>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</si>
  <si>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</si>
  <si>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</si>
  <si>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</si>
  <si>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</si>
  <si>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</si>
  <si>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</si>
  <si>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</si>
  <si>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</si>
  <si>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</si>
  <si>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</si>
  <si>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</si>
  <si>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</si>
  <si>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</si>
  <si>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</si>
  <si>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</si>
  <si>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</si>
  <si>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</si>
  <si>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</si>
  <si>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</si>
  <si>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</si>
  <si>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</si>
  <si>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</si>
  <si>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</si>
  <si>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</si>
  <si>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</si>
  <si>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</si>
  <si>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</si>
  <si>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</si>
  <si>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</si>
  <si>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</si>
  <si>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</si>
  <si>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</si>
  <si>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</si>
  <si>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</si>
  <si>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</si>
  <si>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</si>
  <si>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</si>
  <si>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</si>
  <si>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</si>
  <si>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</si>
  <si>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</si>
  <si>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</si>
  <si>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</si>
  <si>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</si>
  <si>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</si>
  <si>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</si>
  <si>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</si>
  <si>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</si>
  <si>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</si>
  <si>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</si>
  <si>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</si>
  <si>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</si>
  <si>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</si>
  <si>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</si>
  <si>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</si>
  <si>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</si>
  <si>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</si>
  <si>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</si>
  <si>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</si>
  <si>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</si>
  <si>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</si>
  <si>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</si>
  <si>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</si>
  <si>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</si>
  <si>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</si>
  <si>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</si>
  <si>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</si>
  <si>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</si>
  <si>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</si>
  <si>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</si>
  <si>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</si>
  <si>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</si>
  <si>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</si>
  <si>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</si>
  <si>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</si>
  <si>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</si>
  <si>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</si>
  <si>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</si>
  <si>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</si>
  <si>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</si>
  <si>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</si>
  <si>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</si>
  <si>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</si>
  <si>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</si>
  <si>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</si>
  <si>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</si>
  <si>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</si>
  <si>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</si>
  <si>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</si>
  <si>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</si>
  <si>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</si>
  <si>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</si>
  <si>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</si>
  <si>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</si>
  <si>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</si>
  <si>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</si>
  <si>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</si>
  <si>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</si>
  <si>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</si>
  <si>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</si>
  <si>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</si>
  <si>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</si>
  <si>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</si>
  <si>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</si>
  <si>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</si>
  <si>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</si>
  <si>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</si>
  <si>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</si>
  <si>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</si>
  <si>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</si>
  <si>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</si>
  <si>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</si>
  <si>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</si>
  <si>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</si>
  <si>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</si>
  <si>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</si>
  <si>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</si>
  <si>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</si>
  <si>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</si>
  <si>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</si>
  <si>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</si>
  <si>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</si>
  <si>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</si>
  <si>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</si>
  <si>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</si>
  <si>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</si>
  <si>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</si>
  <si>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</si>
  <si>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</si>
  <si>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</si>
  <si>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</si>
  <si>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</si>
  <si>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</si>
  <si>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</si>
  <si>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</si>
  <si>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</si>
  <si>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</si>
  <si>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</si>
  <si>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</si>
  <si>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</si>
  <si>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</si>
  <si>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</si>
  <si>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</si>
  <si>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</si>
  <si>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</si>
  <si>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</si>
  <si>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</si>
  <si>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</si>
  <si>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</si>
  <si>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</si>
  <si>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</si>
  <si>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</si>
  <si>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</si>
  <si>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</si>
  <si>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</si>
  <si>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</si>
  <si>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</si>
  <si>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</si>
  <si>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</si>
  <si>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</si>
  <si>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</si>
  <si>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</si>
  <si>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</si>
  <si>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</si>
  <si>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</si>
  <si>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</si>
  <si>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</si>
  <si>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</si>
  <si>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</si>
  <si>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</si>
  <si>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</si>
  <si>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</si>
  <si>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</si>
  <si>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</si>
  <si>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</si>
  <si>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</si>
  <si>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</si>
  <si>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</si>
  <si>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</si>
  <si>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</si>
  <si>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</si>
  <si>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</si>
  <si>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</si>
  <si>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</si>
  <si>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</si>
  <si>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</si>
  <si>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</si>
  <si>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</si>
  <si>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</si>
  <si>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</si>
  <si>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</si>
  <si>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</si>
  <si>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</si>
  <si>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</si>
  <si>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</si>
  <si>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</si>
  <si>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</si>
  <si>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</si>
  <si>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</si>
  <si>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</si>
  <si>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</si>
  <si>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</si>
  <si>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</si>
  <si>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</si>
  <si>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</si>
  <si>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</si>
  <si>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</si>
  <si>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</si>
  <si>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</si>
  <si>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</si>
  <si>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</si>
  <si>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</si>
  <si>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</si>
  <si>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</si>
  <si>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</si>
  <si>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</si>
  <si>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</si>
  <si>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</si>
  <si>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</si>
  <si>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</si>
  <si>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</si>
  <si>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</si>
  <si>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</si>
  <si>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</si>
  <si>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</si>
  <si>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</si>
  <si>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</si>
  <si>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</si>
  <si>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</si>
  <si>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</si>
  <si>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</si>
  <si>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</si>
  <si>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</si>
  <si>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</si>
  <si>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</si>
  <si>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</si>
  <si>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</si>
  <si>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</si>
  <si>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</si>
  <si>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</si>
  <si>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</si>
  <si>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</si>
  <si>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</si>
  <si>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</si>
  <si>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</si>
  <si>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</si>
  <si>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</si>
  <si>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</si>
  <si>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</si>
  <si>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</si>
  <si>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</si>
  <si>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</si>
  <si>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</si>
  <si>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</si>
  <si>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</si>
  <si>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</si>
  <si>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</si>
  <si>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</si>
  <si>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</si>
  <si>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</si>
  <si>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</si>
  <si>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</si>
  <si>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</si>
  <si>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</si>
  <si>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</si>
  <si>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</si>
  <si>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</si>
  <si>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</si>
  <si>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</si>
  <si>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</si>
  <si>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</si>
  <si>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</si>
  <si>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</si>
  <si>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</si>
  <si>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</si>
  <si>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</si>
  <si>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</si>
  <si>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</si>
  <si>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</si>
  <si>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</si>
  <si>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</si>
  <si>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</si>
  <si>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</si>
  <si>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</si>
  <si>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</si>
  <si>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</si>
  <si>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</si>
  <si>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</si>
  <si>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</si>
  <si>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</si>
  <si>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</si>
  <si>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</si>
  <si>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</si>
  <si>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</si>
  <si>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</si>
  <si>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</si>
  <si>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</si>
  <si>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</si>
  <si>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</si>
  <si>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</si>
  <si>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</si>
  <si>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</si>
  <si>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</si>
  <si>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</si>
  <si>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</si>
  <si>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</si>
  <si>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</si>
  <si>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</si>
  <si>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</si>
  <si>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</si>
  <si>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</si>
  <si>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</si>
  <si>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</si>
  <si>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</si>
  <si>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</si>
  <si>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</si>
  <si>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</si>
  <si>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</si>
  <si>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</si>
  <si>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</si>
  <si>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</si>
  <si>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</si>
  <si>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</si>
  <si>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</si>
  <si>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</si>
  <si>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</si>
  <si>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</si>
  <si>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</si>
  <si>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</si>
  <si>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</si>
  <si>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</si>
  <si>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</si>
  <si>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</si>
  <si>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</si>
  <si>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</si>
  <si>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</si>
  <si>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</si>
  <si>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</si>
  <si>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</si>
  <si>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</si>
  <si>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</si>
  <si>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</si>
  <si>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</si>
  <si>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</si>
  <si>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</si>
  <si>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</si>
  <si>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</si>
  <si>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</si>
  <si>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</si>
  <si>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</si>
  <si>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</si>
  <si>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</si>
  <si>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</si>
  <si>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</si>
  <si>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</si>
  <si>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</si>
  <si>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</si>
  <si>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</si>
  <si>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</si>
  <si>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</si>
  <si>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</si>
  <si>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</si>
  <si>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</si>
  <si>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</si>
  <si>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</si>
  <si>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</si>
  <si>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</si>
  <si>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</si>
  <si>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</si>
  <si>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</si>
  <si>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</si>
  <si>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</si>
  <si>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</si>
  <si>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</si>
  <si>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</si>
  <si>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</si>
  <si>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</si>
  <si>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</si>
  <si>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</si>
  <si>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</si>
  <si>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</si>
  <si>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</si>
  <si>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</si>
  <si>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</si>
  <si>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</si>
  <si>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</si>
  <si>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</si>
  <si>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</si>
  <si>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</si>
  <si>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</si>
  <si>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</si>
  <si>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</si>
  <si>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</si>
  <si>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</si>
  <si>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</si>
  <si>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</si>
  <si>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</si>
  <si>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</si>
  <si>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</si>
  <si>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</si>
  <si>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</si>
  <si>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</si>
  <si>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</si>
  <si>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</si>
  <si>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</si>
  <si>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</si>
  <si>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</si>
  <si>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</si>
  <si>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</si>
  <si>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</si>
  <si>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</si>
  <si>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</si>
  <si>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</si>
  <si>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</si>
  <si>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</si>
  <si>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</si>
  <si>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</si>
  <si>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</si>
  <si>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</si>
  <si>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</si>
  <si>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</si>
  <si>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</si>
  <si>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</si>
  <si>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</si>
  <si>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</si>
  <si>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</si>
  <si>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</si>
  <si>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</si>
  <si>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</si>
  <si>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</si>
  <si>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</si>
  <si>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</si>
  <si>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</si>
  <si>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</si>
  <si>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</si>
  <si>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</si>
  <si>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</si>
  <si>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</si>
  <si>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</si>
  <si>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</si>
  <si>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</si>
  <si>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</si>
  <si>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</si>
  <si>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</si>
  <si>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</si>
  <si>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</si>
  <si>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</si>
  <si>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</si>
  <si>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</si>
  <si>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</si>
  <si>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</si>
  <si>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</si>
  <si>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</si>
  <si>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</si>
  <si>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</si>
  <si>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</si>
  <si>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</si>
  <si>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</si>
  <si>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</si>
  <si>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</si>
  <si>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</si>
  <si>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</si>
  <si>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</si>
  <si>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</si>
  <si>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</si>
  <si>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</si>
  <si>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</si>
  <si>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</si>
  <si>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</si>
  <si>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</si>
  <si>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</si>
  <si>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</si>
  <si>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</si>
  <si>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</si>
  <si>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</si>
  <si>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</si>
  <si>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</si>
  <si>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</si>
  <si>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</si>
  <si>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</si>
  <si>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</si>
  <si>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</si>
  <si>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</si>
  <si>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</si>
  <si>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</si>
  <si>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</si>
  <si>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</si>
  <si>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</si>
  <si>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</si>
  <si>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</si>
  <si>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</si>
  <si>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</si>
  <si>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</si>
  <si>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</si>
  <si>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</si>
  <si>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</si>
  <si>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</si>
  <si>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</si>
  <si>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</si>
  <si>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</si>
  <si>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</si>
  <si>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</si>
  <si>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</si>
  <si>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</si>
  <si>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</si>
  <si>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</si>
  <si>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</si>
  <si>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</si>
  <si>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</si>
  <si>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</si>
  <si>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</si>
  <si>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</si>
  <si>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</si>
  <si>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</si>
  <si>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</si>
  <si>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</si>
  <si>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</si>
  <si>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</si>
  <si>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</si>
  <si>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</si>
  <si>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</si>
  <si>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</si>
  <si>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</si>
  <si>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</si>
  <si>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</si>
  <si>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</si>
  <si>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</si>
  <si>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</si>
  <si>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</si>
  <si>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</si>
  <si>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</si>
  <si>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</si>
  <si>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</si>
  <si>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</si>
  <si>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</si>
  <si>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</si>
  <si>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</si>
  <si>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</si>
  <si>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</si>
  <si>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</si>
  <si>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</si>
  <si>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</si>
  <si>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</si>
  <si>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</si>
  <si>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</si>
  <si>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</si>
  <si>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</si>
  <si>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</si>
  <si>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</si>
  <si>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</si>
  <si>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</si>
  <si>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</si>
  <si>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</si>
  <si>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</si>
  <si>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</si>
  <si>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</si>
  <si>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</si>
  <si>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</si>
  <si>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</si>
  <si>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</si>
  <si>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</si>
  <si>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</si>
  <si>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</si>
  <si>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</si>
  <si>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</si>
  <si>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</si>
  <si>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</si>
  <si>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</si>
  <si>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</si>
  <si>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</si>
  <si>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</si>
  <si>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</si>
  <si>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</si>
  <si>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</si>
  <si>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</si>
  <si>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</si>
  <si>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</si>
  <si>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</si>
  <si>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</si>
  <si>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</si>
  <si>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</si>
  <si>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</si>
  <si>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</si>
  <si>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</si>
  <si>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</si>
  <si>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</si>
  <si>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</si>
  <si>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</si>
  <si>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</si>
  <si>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</si>
  <si>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</si>
  <si>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</si>
  <si>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</si>
  <si>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</si>
  <si>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</si>
  <si>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</si>
  <si>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</si>
  <si>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</si>
  <si>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</si>
  <si>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</si>
  <si>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</si>
  <si>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</si>
  <si>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</si>
  <si>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</si>
  <si>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</si>
  <si>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</si>
  <si>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</si>
  <si>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</si>
  <si>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</si>
  <si>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</si>
  <si>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</si>
  <si>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</si>
  <si>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</si>
  <si>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</si>
  <si>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</si>
  <si>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</si>
  <si>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</si>
  <si>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</si>
  <si>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</si>
  <si>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</si>
  <si>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</si>
  <si>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</si>
  <si>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</si>
  <si>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</si>
  <si>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</si>
  <si>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</si>
  <si>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</si>
  <si>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</si>
  <si>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</si>
  <si>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</si>
  <si>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</si>
  <si>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</si>
  <si>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</si>
  <si>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</si>
  <si>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</si>
  <si>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</si>
  <si>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</si>
  <si>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</si>
  <si>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</si>
  <si>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</si>
  <si>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</si>
  <si>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</si>
  <si>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</si>
  <si>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</si>
  <si>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</si>
  <si>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</si>
  <si>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</si>
  <si>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</si>
  <si>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</si>
  <si>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</si>
  <si>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</si>
  <si>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</si>
  <si>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</si>
  <si>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</si>
  <si>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</si>
  <si>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</si>
  <si>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</si>
  <si>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</si>
  <si>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</si>
  <si>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</si>
  <si>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</si>
  <si>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</si>
  <si>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</si>
  <si>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</si>
  <si>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</si>
  <si>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</si>
  <si>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</si>
  <si>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</si>
  <si>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</si>
  <si>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</si>
  <si>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</si>
  <si>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</si>
  <si>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</si>
  <si>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</si>
  <si>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</si>
  <si>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</si>
  <si>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</si>
  <si>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</si>
  <si>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</si>
  <si>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</si>
  <si>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</si>
  <si>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</si>
  <si>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</si>
  <si>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</si>
  <si>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</si>
  <si>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</si>
  <si>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</si>
  <si>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</si>
  <si>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</si>
  <si>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</si>
  <si>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</si>
  <si>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</si>
  <si>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</si>
  <si>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</si>
  <si>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</si>
  <si>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</si>
  <si>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</si>
  <si>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</si>
  <si>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</si>
  <si>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</si>
  <si>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</si>
  <si>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</si>
  <si>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</si>
  <si>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</si>
  <si>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</si>
  <si>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</si>
  <si>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</si>
  <si>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</si>
  <si>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</si>
  <si>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</si>
  <si>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</si>
  <si>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</si>
  <si>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</si>
  <si>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</si>
  <si>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</si>
  <si>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</si>
  <si>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</si>
  <si>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</si>
  <si>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</si>
  <si>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</si>
  <si>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</si>
  <si>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</si>
  <si>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</si>
  <si>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</si>
  <si>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</si>
  <si>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</si>
  <si>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</si>
  <si>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</si>
  <si>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</si>
  <si>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</si>
  <si>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</si>
  <si>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</si>
  <si>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</si>
  <si>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</si>
  <si>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</si>
  <si>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</si>
  <si>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</si>
  <si>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</si>
  <si>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</si>
  <si>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</si>
  <si>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</si>
  <si>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</si>
  <si>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</si>
  <si>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</si>
  <si>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</si>
  <si>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</si>
  <si>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</si>
  <si>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</si>
  <si>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</si>
  <si>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</si>
  <si>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</si>
  <si>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</si>
  <si>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</si>
  <si>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</si>
  <si>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</si>
  <si>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</si>
  <si>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</si>
  <si>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</si>
  <si>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</si>
  <si>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</si>
  <si>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</si>
  <si>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</si>
  <si>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</si>
  <si>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</si>
  <si>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</si>
  <si>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</si>
  <si>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</si>
  <si>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</si>
  <si>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</si>
  <si>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</si>
  <si>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</si>
  <si>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</si>
  <si>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</si>
  <si>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</si>
  <si>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</si>
  <si>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</si>
  <si>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</si>
  <si>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</si>
  <si>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</si>
  <si>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</si>
  <si>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</si>
  <si>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</si>
  <si>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</si>
  <si>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</si>
  <si>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</si>
  <si>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</si>
  <si>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</si>
  <si>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</si>
  <si>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</si>
  <si>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</si>
  <si>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</si>
  <si>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</si>
  <si>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</si>
  <si>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</si>
  <si>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</si>
  <si>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</si>
  <si>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</si>
  <si>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</si>
  <si>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</si>
  <si>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</si>
  <si>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</si>
  <si>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</si>
  <si>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</si>
  <si>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</si>
  <si>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</si>
  <si>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</si>
  <si>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</si>
  <si>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</si>
  <si>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</si>
  <si>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</si>
  <si>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</si>
  <si>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</si>
  <si>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</si>
  <si>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</si>
  <si>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</si>
  <si>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</si>
  <si>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</si>
  <si>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</si>
  <si>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</si>
  <si>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</si>
  <si>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</si>
  <si>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</si>
  <si>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</si>
  <si>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</si>
  <si>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</si>
  <si>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</si>
  <si>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</si>
  <si>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</si>
  <si>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</si>
  <si>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</si>
  <si>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</si>
  <si>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</si>
  <si>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</si>
  <si>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</si>
  <si>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</si>
  <si>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</si>
  <si>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</si>
  <si>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</si>
  <si>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</si>
  <si>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</si>
  <si>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</si>
  <si>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</si>
  <si>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</si>
  <si>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</si>
  <si>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</si>
  <si>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</si>
  <si>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</si>
  <si>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</si>
  <si>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</si>
  <si>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</si>
  <si>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</si>
  <si>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</si>
  <si>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</si>
  <si>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</si>
  <si>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</si>
  <si>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</si>
  <si>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</si>
  <si>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</si>
  <si>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</si>
  <si>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</si>
  <si>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</si>
  <si>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</si>
  <si>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</si>
  <si>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</si>
  <si>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</si>
  <si>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</si>
  <si>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</si>
  <si>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</si>
  <si>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</si>
  <si>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</si>
  <si>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</si>
  <si>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</si>
  <si>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</si>
  <si>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</si>
  <si>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</si>
  <si>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</si>
  <si>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</si>
  <si>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</si>
  <si>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</si>
  <si>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</si>
  <si>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</si>
  <si>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</si>
  <si>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</si>
  <si>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</si>
  <si>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</si>
  <si>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</si>
  <si>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</si>
  <si>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</si>
  <si>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</si>
  <si>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</si>
  <si>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</si>
  <si>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</si>
  <si>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</si>
  <si>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</si>
  <si>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</si>
  <si>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</si>
  <si>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</si>
  <si>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</si>
  <si>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</si>
  <si>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</si>
  <si>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</si>
  <si>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</si>
  <si>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</si>
  <si>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</si>
  <si>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</si>
  <si>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</si>
  <si>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</si>
  <si>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</si>
  <si>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</si>
  <si>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</si>
  <si>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</si>
  <si>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</si>
  <si>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</si>
  <si>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</si>
  <si>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</si>
  <si>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</si>
  <si>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</si>
  <si>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</si>
  <si>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</si>
  <si>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</si>
  <si>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</si>
  <si>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</si>
  <si>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</si>
  <si>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</si>
  <si>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</si>
  <si>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</si>
  <si>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</si>
  <si>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</si>
  <si>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</si>
  <si>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</si>
  <si>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</si>
  <si>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</si>
  <si>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</si>
  <si>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</si>
  <si>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</si>
  <si>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</si>
  <si>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</si>
  <si>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</si>
  <si>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</si>
  <si>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</si>
  <si>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</si>
  <si>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</si>
  <si>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</si>
  <si>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</si>
  <si>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</si>
  <si>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</si>
  <si>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</si>
  <si>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</si>
  <si>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</si>
  <si>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</si>
  <si>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</si>
  <si>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</si>
  <si>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</si>
  <si>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</si>
  <si>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</si>
  <si>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</si>
  <si>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</si>
  <si>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</si>
  <si>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</si>
  <si>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</si>
  <si>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</si>
  <si>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</si>
  <si>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</si>
  <si>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</si>
  <si>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</si>
  <si>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</si>
  <si>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</si>
  <si>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</si>
  <si>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</si>
  <si>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</si>
  <si>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</si>
  <si>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</si>
  <si>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</si>
  <si>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</si>
  <si>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</si>
  <si>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</si>
  <si>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</si>
  <si>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</si>
  <si>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</si>
  <si>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</si>
  <si>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</si>
  <si>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</si>
  <si>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</si>
  <si>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</si>
  <si>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</si>
  <si>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</si>
  <si>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</si>
  <si>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</si>
  <si>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</si>
  <si>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</si>
  <si>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</si>
  <si>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</si>
  <si>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</si>
  <si>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</si>
  <si>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</si>
  <si>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</si>
  <si>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</si>
  <si>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</si>
  <si>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</si>
  <si>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</si>
  <si>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</si>
  <si>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</si>
  <si>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</si>
  <si>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</si>
  <si>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</si>
  <si>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</si>
  <si>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</si>
  <si>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</si>
  <si>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</si>
  <si>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</si>
  <si>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</si>
  <si>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</si>
  <si>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</si>
  <si>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</si>
  <si>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</si>
  <si>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</si>
  <si>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</si>
  <si>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</si>
  <si>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</si>
  <si>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</si>
  <si>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</si>
  <si>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</si>
  <si>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</si>
  <si>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</si>
  <si>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</si>
  <si>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</si>
  <si>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</si>
  <si>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</si>
  <si>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</si>
  <si>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</si>
  <si>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</si>
  <si>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</si>
  <si>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</si>
  <si>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</si>
  <si>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</si>
  <si>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</si>
  <si>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</si>
  <si>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</si>
  <si>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</si>
  <si>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</si>
  <si>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</si>
  <si>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</si>
  <si>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</si>
  <si>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</si>
  <si>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</si>
  <si>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</si>
  <si>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</si>
  <si>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</si>
  <si>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</si>
  <si>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</si>
  <si>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</si>
  <si>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</si>
  <si>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</si>
  <si>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</si>
  <si>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</si>
  <si>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</si>
  <si>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</si>
  <si>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</si>
  <si>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</si>
  <si>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</si>
  <si>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</si>
  <si>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</si>
  <si>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</si>
  <si>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</si>
  <si>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</si>
  <si>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</si>
  <si>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</si>
  <si>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</si>
  <si>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</si>
  <si>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</si>
  <si>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</si>
  <si>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</si>
  <si>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</si>
  <si>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</si>
  <si>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</si>
  <si>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</si>
  <si>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</si>
  <si>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</si>
  <si>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</si>
  <si>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</si>
  <si>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</si>
  <si>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</si>
  <si>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</si>
  <si>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</si>
  <si>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</si>
  <si>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</si>
  <si>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</si>
  <si>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</si>
  <si>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</si>
  <si>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</si>
  <si>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</si>
  <si>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</si>
  <si>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</si>
  <si>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</si>
  <si>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</si>
  <si>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</si>
  <si>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</si>
  <si>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</si>
  <si>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</si>
  <si>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</si>
  <si>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</si>
  <si>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</si>
  <si>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</si>
  <si>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</si>
  <si>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</si>
  <si>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</si>
  <si>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</si>
  <si>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</si>
  <si>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</si>
  <si>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</si>
  <si>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</si>
  <si>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</si>
  <si>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</si>
  <si>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</si>
  <si>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</si>
  <si>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</si>
  <si>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</si>
  <si>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</si>
  <si>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</si>
  <si>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</si>
  <si>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</si>
  <si>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</si>
  <si>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</si>
  <si>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</si>
  <si>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</si>
  <si>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</si>
  <si>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</si>
  <si>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</si>
  <si>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</si>
  <si>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</si>
  <si>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</si>
  <si>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</si>
  <si>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</si>
  <si>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</si>
  <si>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</si>
  <si>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</si>
  <si>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</si>
  <si>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</si>
  <si>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</si>
  <si>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</si>
  <si>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</si>
  <si>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</si>
  <si>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</si>
  <si>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</si>
  <si>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</si>
  <si>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</si>
  <si>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</si>
  <si>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</si>
  <si>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</si>
  <si>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</si>
  <si>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</si>
  <si>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</si>
  <si>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</si>
  <si>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</si>
  <si>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</si>
  <si>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</si>
  <si>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</si>
  <si>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</si>
  <si>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</si>
  <si>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</si>
  <si>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</si>
  <si>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</si>
  <si>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</si>
  <si>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</si>
  <si>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</si>
  <si>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</si>
  <si>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</si>
  <si>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</si>
  <si>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</si>
  <si>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</si>
  <si>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</si>
  <si>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</si>
  <si>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</si>
  <si>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</si>
  <si>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</si>
  <si>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</si>
  <si>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</si>
  <si>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</si>
  <si>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</si>
  <si>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</si>
  <si>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</si>
  <si>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</si>
  <si>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</si>
  <si>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</si>
  <si>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</si>
  <si>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</si>
  <si>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</si>
  <si>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</si>
  <si>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</si>
  <si>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</si>
  <si>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</si>
  <si>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</si>
  <si>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</si>
  <si>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</si>
  <si>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</si>
  <si>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</si>
  <si>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</si>
  <si>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</si>
  <si>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</si>
  <si>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</si>
  <si>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</si>
  <si>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</si>
  <si>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</si>
  <si>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</si>
  <si>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</si>
  <si>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</si>
  <si>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</si>
  <si>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</si>
  <si>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</si>
  <si>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</si>
  <si>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</si>
  <si>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</si>
  <si>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</si>
  <si>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</si>
  <si>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</si>
  <si>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</si>
  <si>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</si>
  <si>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</si>
  <si>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</si>
  <si>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</si>
  <si>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</si>
  <si>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</si>
  <si>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</si>
  <si>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</si>
  <si>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</si>
  <si>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</si>
  <si>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</si>
  <si>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</si>
  <si>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</si>
  <si>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</si>
  <si>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</si>
  <si>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</si>
  <si>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</si>
  <si>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</si>
  <si>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</si>
  <si>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</si>
  <si>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</si>
  <si>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</si>
  <si>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</si>
  <si>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</si>
  <si>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</si>
  <si>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</si>
  <si>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</si>
  <si>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</si>
  <si>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</si>
  <si>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</si>
  <si>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</si>
  <si>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</si>
  <si>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</si>
  <si>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</si>
  <si>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</si>
  <si>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</si>
  <si>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</si>
  <si>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</si>
  <si>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</si>
  <si>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</si>
  <si>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</si>
  <si>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</si>
  <si>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</si>
  <si>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</si>
  <si>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</si>
  <si>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</si>
  <si>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</si>
  <si>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</si>
  <si>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</si>
  <si>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</si>
  <si>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</si>
  <si>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</si>
  <si>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</si>
  <si>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</si>
  <si>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</si>
  <si>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</si>
  <si>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</si>
  <si>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</si>
  <si>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</si>
  <si>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</si>
  <si>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</si>
  <si>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</si>
  <si>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</si>
  <si>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</si>
  <si>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</si>
  <si>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</si>
  <si>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</si>
  <si>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</si>
  <si>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</si>
  <si>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</si>
  <si>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</si>
  <si>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</si>
  <si>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</si>
  <si>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</si>
  <si>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</si>
  <si>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</si>
  <si>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</si>
  <si>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</si>
  <si>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</si>
  <si>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</si>
  <si>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</si>
  <si>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</si>
  <si>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</si>
  <si>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</si>
  <si>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</si>
  <si>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</si>
  <si>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</si>
  <si>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</si>
  <si>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</si>
  <si>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</si>
  <si>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</si>
  <si>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</si>
  <si>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</si>
  <si>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</si>
  <si>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</si>
  <si>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</si>
  <si>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</si>
  <si>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</si>
  <si>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</si>
  <si>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</si>
  <si>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</si>
  <si>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</si>
  <si>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</si>
  <si>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</si>
  <si>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</si>
  <si>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</si>
  <si>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</si>
  <si>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</si>
  <si>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</si>
  <si>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</si>
  <si>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</si>
  <si>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</si>
  <si>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</si>
  <si>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</si>
  <si>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</si>
  <si>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</si>
  <si>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</si>
  <si>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</si>
  <si>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</si>
  <si>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</si>
  <si>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</si>
  <si>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</si>
  <si>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</si>
  <si>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</si>
  <si>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</si>
  <si>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</si>
  <si>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</si>
  <si>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</si>
  <si>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</si>
  <si>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</si>
  <si>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</si>
  <si>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</si>
  <si>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</si>
  <si>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</si>
  <si>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</si>
  <si>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</si>
  <si>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</si>
  <si>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</si>
  <si>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</si>
  <si>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</si>
  <si>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</si>
  <si>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</si>
  <si>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</si>
  <si>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</si>
  <si>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</si>
  <si>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</si>
  <si>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</si>
  <si>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</si>
  <si>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</si>
  <si>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</si>
  <si>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</si>
  <si>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</si>
  <si>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</si>
  <si>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</si>
  <si>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</si>
  <si>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</si>
  <si>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</si>
  <si>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</si>
  <si>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</si>
  <si>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</si>
  <si>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</si>
  <si>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</si>
  <si>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</si>
  <si>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</si>
  <si>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</si>
  <si>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</si>
  <si>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</si>
  <si>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</si>
  <si>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</si>
  <si>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</si>
  <si>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</si>
  <si>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</si>
  <si>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</si>
  <si>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</si>
  <si>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</si>
  <si>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</si>
  <si>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</si>
  <si>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</si>
  <si>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</si>
  <si>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</si>
  <si>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</si>
  <si>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</si>
  <si>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</si>
  <si>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</si>
  <si>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</si>
  <si>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</si>
  <si>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</si>
  <si>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</si>
  <si>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</si>
  <si>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</si>
  <si>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</si>
  <si>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</si>
  <si>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</si>
  <si>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</si>
  <si>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</si>
  <si>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</si>
  <si>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</si>
  <si>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</si>
  <si>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</si>
  <si>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</si>
  <si>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</si>
  <si>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</si>
  <si>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</si>
  <si>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</si>
  <si>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</si>
  <si>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</si>
  <si>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</si>
  <si>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</si>
  <si>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</si>
  <si>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</si>
  <si>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</si>
  <si>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</si>
  <si>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</si>
  <si>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</si>
  <si>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</si>
  <si>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</si>
  <si>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</si>
  <si>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</si>
  <si>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</si>
  <si>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</si>
  <si>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</si>
  <si>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</si>
  <si>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</si>
  <si>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</si>
  <si>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</si>
  <si>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</si>
  <si>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</si>
  <si>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</si>
  <si>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</si>
  <si>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</si>
  <si>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</si>
  <si>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</si>
  <si>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</si>
  <si>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</si>
  <si>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</si>
  <si>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</si>
  <si>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</si>
  <si>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</si>
  <si>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</si>
  <si>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</si>
  <si>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</si>
  <si>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</si>
  <si>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</si>
  <si>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</si>
  <si>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</si>
  <si>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</si>
  <si>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</si>
  <si>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</si>
  <si>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</si>
  <si>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</si>
  <si>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</si>
  <si>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</si>
  <si>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</si>
  <si>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</si>
  <si>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</si>
  <si>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</si>
  <si>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</si>
  <si>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</si>
  <si>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</si>
  <si>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</si>
  <si>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</si>
  <si>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</si>
  <si>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</si>
  <si>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</si>
  <si>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</si>
  <si>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</si>
  <si>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</si>
  <si>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</si>
  <si>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</si>
  <si>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</si>
  <si>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</si>
  <si>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</si>
  <si>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</si>
  <si>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</si>
  <si>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</si>
  <si>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</si>
  <si>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</si>
  <si>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</si>
  <si>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</si>
  <si>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</si>
  <si>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</si>
  <si>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</si>
  <si>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</si>
  <si>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</si>
  <si>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</si>
  <si>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</si>
  <si>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</si>
  <si>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</si>
  <si>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</si>
  <si>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</si>
  <si>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</si>
  <si>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</si>
  <si>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</si>
  <si>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</si>
  <si>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</si>
  <si>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</si>
  <si>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</si>
  <si>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</si>
  <si>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</si>
  <si>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</si>
  <si>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</si>
  <si>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</si>
  <si>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</si>
  <si>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</si>
  <si>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</si>
  <si>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</si>
  <si>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</si>
  <si>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</si>
  <si>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</si>
  <si>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</si>
  <si>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</si>
  <si>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</si>
  <si>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</si>
  <si>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</si>
  <si>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</si>
  <si>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</si>
  <si>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</si>
  <si>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</si>
  <si>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</si>
  <si>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</si>
  <si>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</si>
  <si>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</si>
  <si>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</si>
  <si>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</si>
  <si>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</si>
  <si>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</si>
  <si>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</si>
  <si>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</si>
  <si>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</si>
  <si>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</si>
  <si>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</si>
  <si>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</si>
  <si>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</si>
  <si>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</si>
  <si>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</si>
  <si>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</si>
  <si>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</si>
  <si>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</si>
  <si>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</si>
  <si>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</si>
  <si>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</si>
  <si>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</si>
  <si>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</si>
  <si>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</si>
  <si>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</si>
  <si>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</si>
  <si>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</si>
  <si>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</si>
  <si>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</si>
  <si>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</si>
  <si>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</si>
  <si>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</si>
  <si>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</si>
  <si>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</si>
  <si>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</si>
  <si>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</si>
  <si>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</si>
  <si>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</si>
  <si>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</si>
  <si>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</si>
  <si>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</si>
  <si>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</si>
  <si>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</si>
  <si>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</si>
  <si>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</si>
  <si>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</si>
  <si>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</si>
  <si>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</si>
  <si>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</si>
  <si>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</si>
  <si>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</si>
  <si>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</si>
  <si>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</si>
  <si>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</si>
  <si>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</si>
  <si>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</si>
  <si>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</si>
  <si>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</si>
  <si>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</si>
  <si>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</si>
  <si>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</si>
  <si>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</si>
  <si>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</si>
  <si>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</si>
  <si>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</si>
  <si>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</si>
  <si>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</si>
  <si>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</si>
  <si>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</si>
  <si>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</si>
  <si>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</si>
  <si>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</si>
  <si>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</si>
  <si>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</si>
  <si>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</si>
  <si>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</si>
  <si>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</si>
  <si>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</si>
  <si>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</si>
  <si>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</si>
  <si>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</si>
  <si>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</si>
  <si>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</si>
  <si>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</si>
  <si>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</si>
  <si>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</si>
  <si>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</si>
  <si>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</si>
  <si>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</si>
  <si>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</si>
  <si>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</si>
  <si>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</si>
  <si>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</si>
  <si>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</si>
  <si>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</si>
  <si>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</si>
  <si>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</si>
  <si>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</si>
  <si>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</si>
  <si>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</si>
  <si>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</si>
  <si>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</si>
  <si>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</si>
  <si>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</si>
  <si>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</si>
  <si>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</si>
  <si>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</si>
  <si>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</si>
  <si>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</si>
  <si>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</si>
  <si>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</si>
  <si>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</si>
  <si>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</si>
  <si>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</si>
  <si>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</si>
  <si>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</si>
  <si>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</si>
  <si>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</si>
  <si>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</si>
  <si>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</si>
  <si>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</si>
  <si>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</si>
  <si>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</si>
  <si>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</si>
  <si>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</si>
  <si>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</si>
  <si>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</si>
  <si>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</si>
  <si>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</si>
  <si>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</si>
  <si>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</si>
  <si>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</si>
  <si>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</si>
  <si>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</si>
  <si>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</si>
  <si>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</si>
  <si>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</si>
  <si>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</si>
  <si>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</si>
  <si>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</si>
  <si>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</si>
  <si>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</si>
  <si>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</si>
  <si>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</si>
  <si>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</si>
  <si>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</si>
  <si>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</si>
  <si>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</si>
  <si>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</si>
  <si>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</si>
  <si>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</si>
  <si>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</si>
  <si>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</si>
  <si>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</si>
  <si>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</si>
  <si>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</si>
  <si>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</si>
  <si>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</si>
  <si>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</si>
  <si>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</si>
  <si>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</si>
  <si>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</si>
  <si>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</si>
  <si>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</si>
  <si>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</si>
  <si>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</si>
  <si>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</si>
  <si>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</si>
  <si>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</si>
  <si>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</si>
  <si>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</si>
  <si>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</si>
  <si>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</si>
  <si>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</si>
  <si>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</si>
  <si>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</si>
  <si>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</si>
  <si>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</si>
  <si>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</si>
  <si>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</si>
  <si>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</si>
  <si>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</si>
  <si>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</si>
  <si>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</si>
  <si>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</si>
  <si>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</si>
  <si>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</si>
  <si>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</si>
  <si>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</si>
  <si>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</si>
  <si>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</si>
  <si>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</si>
  <si>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</si>
  <si>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</si>
  <si>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</si>
  <si>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</si>
  <si>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</si>
  <si>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</si>
  <si>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</si>
  <si>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</si>
  <si>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</si>
  <si>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</si>
  <si>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</si>
  <si>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</si>
  <si>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</si>
  <si>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</si>
  <si>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</si>
  <si>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</si>
  <si>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</si>
  <si>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</si>
  <si>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</si>
  <si>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</si>
  <si>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</si>
  <si>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</si>
  <si>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</si>
  <si>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</si>
  <si>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</si>
  <si>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</si>
  <si>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</si>
  <si>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</si>
  <si>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</si>
  <si>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</si>
  <si>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</si>
  <si>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</si>
  <si>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</si>
  <si>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</si>
  <si>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</si>
  <si>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</si>
  <si>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</si>
  <si>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</si>
  <si>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</si>
  <si>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</si>
  <si>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</si>
  <si>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</si>
  <si>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</si>
  <si>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</si>
  <si>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</si>
  <si>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</si>
  <si>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</si>
  <si>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</si>
  <si>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</si>
  <si>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</si>
  <si>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</si>
  <si>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</si>
  <si>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</si>
  <si>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</si>
  <si>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</si>
  <si>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</si>
  <si>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</si>
  <si>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</si>
  <si>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</si>
  <si>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</si>
  <si>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</si>
  <si>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</si>
  <si>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</si>
  <si>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</si>
  <si>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</si>
  <si>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</si>
  <si>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</si>
  <si>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</si>
  <si>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</si>
  <si>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</si>
  <si>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</si>
  <si>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</si>
  <si>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</si>
  <si>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</si>
  <si>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</si>
  <si>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</si>
  <si>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</si>
  <si>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</si>
  <si>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</si>
  <si>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</si>
  <si>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</si>
  <si>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</si>
  <si>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</si>
  <si>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</si>
  <si>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</si>
  <si>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</si>
  <si>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</si>
  <si>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</si>
  <si>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</si>
  <si>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</si>
  <si>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</si>
  <si>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</si>
  <si>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</si>
  <si>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</si>
  <si>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</si>
  <si>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</si>
  <si>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</si>
  <si>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</si>
  <si>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</si>
  <si>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</si>
  <si>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</si>
  <si>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</si>
  <si>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</si>
  <si>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</si>
  <si>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</si>
  <si>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</si>
  <si>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</si>
  <si>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</si>
  <si>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</si>
  <si>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</si>
  <si>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</si>
  <si>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</si>
  <si>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</si>
  <si>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</si>
  <si>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</si>
  <si>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</si>
  <si>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</si>
  <si>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</si>
  <si>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</si>
  <si>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</si>
  <si>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</si>
  <si>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</si>
  <si>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</si>
  <si>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</si>
  <si>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</si>
  <si>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</si>
  <si>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</si>
  <si>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</si>
  <si>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</si>
  <si>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</si>
  <si>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</si>
  <si>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</si>
  <si>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</si>
  <si>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</si>
  <si>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</si>
  <si>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</si>
  <si>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</si>
  <si>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</si>
  <si>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</si>
  <si>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</si>
  <si>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</si>
  <si>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</si>
  <si>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</si>
  <si>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</si>
  <si>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</si>
  <si>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</si>
  <si>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</si>
  <si>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</si>
  <si>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</si>
  <si>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</si>
  <si>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</si>
  <si>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</si>
  <si>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</si>
  <si>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</si>
  <si>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</si>
  <si>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</si>
  <si>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</si>
  <si>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</si>
  <si>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</si>
  <si>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</si>
  <si>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</si>
  <si>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</si>
  <si>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</si>
  <si>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</si>
  <si>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</si>
  <si>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</si>
  <si>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</si>
  <si>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</si>
  <si>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</si>
  <si>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</si>
  <si>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</si>
  <si>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</si>
  <si>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</si>
  <si>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</si>
  <si>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</si>
  <si>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</si>
  <si>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</si>
  <si>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</si>
  <si>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</si>
  <si>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</si>
  <si>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</si>
  <si>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</si>
  <si>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</si>
  <si>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</si>
  <si>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</si>
  <si>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</si>
  <si>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</si>
  <si>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</si>
  <si>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</si>
  <si>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</si>
  <si>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</si>
  <si>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</si>
  <si>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</si>
  <si>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</si>
  <si>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</si>
  <si>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</si>
  <si>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</si>
  <si>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</si>
  <si>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</si>
  <si>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</si>
  <si>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</si>
  <si>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</si>
  <si>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</si>
  <si>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</si>
  <si>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</si>
  <si>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</si>
  <si>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</si>
  <si>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</si>
  <si>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</si>
  <si>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</si>
  <si>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</si>
  <si>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</si>
  <si>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</si>
  <si>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</si>
  <si>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</si>
  <si>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</si>
  <si>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</si>
  <si>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</si>
  <si>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</si>
  <si>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</si>
  <si>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</si>
  <si>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</si>
  <si>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</si>
  <si>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</si>
  <si>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</si>
  <si>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</si>
  <si>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</si>
  <si>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</si>
  <si>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</si>
  <si>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</si>
  <si>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</si>
  <si>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</si>
  <si>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</si>
  <si>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</si>
  <si>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</si>
  <si>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</si>
  <si>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</si>
  <si>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</si>
  <si>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</si>
  <si>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</si>
  <si>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</si>
  <si>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</si>
  <si>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</si>
  <si>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</si>
  <si>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</si>
  <si>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</si>
  <si>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</si>
  <si>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</si>
  <si>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</si>
  <si>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</si>
  <si>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</si>
  <si>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</si>
  <si>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</si>
  <si>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</si>
  <si>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</si>
  <si>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</si>
  <si>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</si>
  <si>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</si>
  <si>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</si>
  <si>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</si>
  <si>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</si>
  <si>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</si>
  <si>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</si>
  <si>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</si>
  <si>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</si>
  <si>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</si>
  <si>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</si>
  <si>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</si>
  <si>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</si>
  <si>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</si>
  <si>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</si>
  <si>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</si>
  <si>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</si>
  <si>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</si>
  <si>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</si>
  <si>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</si>
  <si>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</si>
  <si>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</si>
  <si>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</si>
  <si>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</si>
  <si>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</si>
  <si>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</si>
  <si>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</si>
  <si>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</si>
  <si>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</si>
  <si>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</si>
  <si>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</si>
  <si>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</si>
  <si>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</si>
  <si>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</si>
  <si>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</si>
  <si>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</si>
  <si>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</si>
  <si>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</si>
  <si>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</si>
  <si>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</si>
  <si>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</si>
  <si>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</si>
  <si>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</si>
  <si>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</si>
  <si>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</si>
  <si>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</si>
  <si>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</si>
  <si>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</si>
  <si>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</si>
  <si>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</si>
  <si>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</si>
  <si>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</si>
  <si>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</si>
  <si>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</si>
  <si>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</si>
  <si>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</si>
  <si>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</si>
  <si>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</si>
  <si>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</si>
  <si>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</si>
  <si>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</si>
  <si>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</si>
  <si>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</si>
  <si>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</si>
  <si>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</si>
  <si>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</si>
  <si>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</si>
  <si>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</si>
  <si>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</si>
  <si>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</si>
  <si>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</si>
  <si>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</si>
  <si>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</si>
  <si>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</si>
  <si>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</si>
  <si>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</si>
  <si>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</si>
  <si>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</si>
  <si>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</si>
  <si>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</si>
  <si>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</si>
  <si>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</si>
  <si>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</si>
  <si>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</si>
  <si>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</si>
  <si>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</si>
  <si>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</si>
  <si>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</si>
  <si>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</si>
  <si>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</si>
  <si>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</si>
  <si>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</si>
  <si>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</si>
  <si>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</si>
  <si>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</si>
  <si>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</si>
  <si>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</si>
  <si>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</si>
  <si>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</si>
  <si>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</si>
  <si>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</si>
  <si>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</si>
  <si>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</si>
  <si>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</si>
  <si>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</si>
  <si>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</si>
  <si>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</si>
  <si>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</si>
  <si>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</si>
  <si>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</si>
  <si>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</si>
  <si>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</si>
  <si>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</si>
  <si>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</si>
  <si>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</si>
  <si>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</si>
  <si>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</si>
  <si>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</si>
  <si>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</si>
  <si>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</si>
  <si>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</si>
  <si>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</si>
  <si>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</si>
  <si>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</si>
  <si>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</si>
  <si>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</si>
  <si>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</si>
  <si>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</si>
  <si>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</si>
  <si>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</si>
  <si>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</si>
  <si>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</si>
  <si>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</si>
  <si>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</si>
  <si>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</si>
  <si>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</si>
  <si>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</si>
  <si>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</si>
  <si>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</si>
  <si>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</si>
  <si>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</si>
  <si>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</si>
  <si>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</si>
  <si>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</si>
  <si>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</si>
  <si>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</si>
  <si>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</si>
  <si>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</si>
  <si>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</si>
  <si>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</si>
  <si>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</si>
  <si>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</si>
  <si>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</si>
  <si>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</si>
  <si>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</si>
  <si>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</si>
  <si>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</si>
  <si>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</si>
  <si>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</si>
  <si>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</si>
  <si>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</si>
  <si>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</si>
  <si>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</si>
  <si>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</si>
  <si>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</si>
  <si>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</si>
  <si>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</si>
  <si>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</si>
  <si>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</si>
  <si>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</si>
  <si>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</si>
  <si>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</si>
  <si>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</si>
  <si>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</si>
  <si>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</si>
  <si>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</si>
  <si>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</si>
  <si>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</si>
  <si>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</si>
  <si>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</si>
  <si>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</si>
  <si>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</si>
  <si>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</si>
  <si>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</si>
  <si>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</si>
  <si>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</si>
  <si>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</si>
  <si>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</si>
  <si>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</si>
  <si>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</si>
  <si>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</si>
  <si>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</si>
  <si>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</si>
  <si>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</si>
  <si>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</si>
  <si>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</si>
  <si>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</si>
  <si>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</si>
  <si>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</si>
  <si>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</si>
  <si>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</si>
  <si>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</si>
  <si>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</si>
  <si>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</si>
  <si>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</si>
  <si>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</si>
  <si>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</si>
  <si>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</si>
  <si>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</si>
  <si>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</si>
  <si>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</si>
  <si>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</si>
  <si>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</si>
  <si>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</si>
  <si>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</si>
  <si>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</si>
  <si>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</si>
  <si>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</si>
  <si>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</si>
  <si>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</si>
  <si>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</si>
  <si>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</si>
  <si>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</si>
  <si>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</si>
  <si>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</si>
  <si>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</si>
  <si>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</si>
  <si>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</si>
  <si>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</si>
  <si>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</si>
  <si>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</si>
  <si>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</si>
  <si>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</si>
  <si>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</si>
  <si>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</si>
  <si>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</si>
  <si>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</si>
  <si>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</si>
  <si>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</si>
  <si>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</si>
  <si>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</si>
  <si>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</si>
  <si>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</si>
  <si>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</si>
  <si>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</si>
  <si>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</si>
  <si>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</si>
  <si>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</si>
  <si>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</si>
  <si>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</si>
  <si>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</si>
  <si>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</si>
  <si>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</si>
  <si>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</si>
  <si>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</si>
  <si>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</si>
  <si>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</si>
  <si>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</si>
  <si>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</si>
  <si>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</si>
  <si>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</si>
  <si>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</si>
  <si>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</si>
  <si>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</si>
  <si>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</si>
  <si>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</si>
  <si>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</si>
  <si>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</si>
  <si>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</si>
  <si>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</si>
  <si>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</si>
  <si>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</si>
  <si>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</si>
  <si>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</si>
  <si>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</si>
  <si>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</si>
  <si>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</si>
  <si>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</si>
  <si>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</si>
  <si>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</si>
  <si>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</si>
  <si>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</si>
  <si>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</si>
  <si>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</si>
  <si>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</si>
  <si>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</si>
  <si>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</si>
  <si>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</si>
  <si>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</si>
  <si>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</si>
  <si>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</si>
  <si>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</si>
  <si>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</si>
  <si>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</si>
  <si>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</si>
  <si>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</si>
  <si>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</si>
  <si>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</si>
  <si>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</si>
  <si>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</si>
  <si>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</si>
  <si>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</si>
  <si>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</si>
  <si>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</si>
  <si>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</si>
  <si>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</si>
  <si>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</si>
  <si>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</si>
  <si>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</si>
  <si>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</si>
  <si>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</si>
  <si>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</si>
  <si>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</si>
  <si>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</si>
  <si>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</si>
  <si>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</si>
  <si>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</si>
  <si>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</si>
  <si>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</si>
  <si>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</si>
  <si>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</si>
  <si>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</si>
  <si>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</si>
  <si>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</si>
  <si>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</si>
  <si>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</si>
  <si>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</si>
  <si>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</si>
  <si>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</si>
  <si>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</si>
  <si>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</si>
  <si>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</si>
  <si>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</si>
  <si>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</si>
  <si>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</si>
  <si>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</si>
  <si>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</si>
  <si>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</si>
  <si>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</si>
  <si>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</si>
  <si>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</si>
  <si>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</si>
  <si>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</si>
  <si>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</si>
  <si>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</si>
  <si>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</si>
  <si>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</si>
  <si>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</si>
  <si>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</si>
  <si>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</si>
  <si>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</si>
  <si>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</si>
  <si>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</si>
  <si>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</si>
  <si>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</si>
  <si>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</si>
  <si>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</si>
  <si>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</si>
  <si>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</si>
  <si>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</si>
  <si>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</si>
  <si>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</si>
  <si>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</si>
  <si>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</si>
  <si>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</si>
  <si>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</si>
  <si>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</si>
  <si>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</si>
  <si>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</si>
  <si>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</si>
  <si>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</si>
  <si>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</si>
  <si>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</si>
  <si>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</si>
  <si>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</si>
  <si>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</si>
  <si>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</si>
  <si>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</si>
  <si>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</si>
  <si>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</si>
  <si>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</si>
  <si>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</si>
  <si>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</si>
  <si>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</si>
  <si>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</si>
  <si>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</si>
  <si>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</si>
  <si>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</si>
  <si>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</si>
  <si>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</si>
  <si>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</si>
  <si>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</si>
  <si>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</si>
  <si>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</si>
  <si>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</si>
  <si>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</si>
  <si>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</si>
  <si>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</si>
  <si>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</si>
  <si>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</si>
  <si>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</si>
  <si>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</si>
  <si>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</si>
  <si>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</si>
  <si>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</si>
  <si>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</si>
  <si>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</si>
  <si>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</si>
  <si>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</si>
  <si>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</si>
  <si>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</si>
  <si>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</si>
  <si>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</si>
  <si>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</si>
  <si>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</si>
  <si>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</si>
  <si>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</si>
  <si>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</si>
  <si>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</si>
  <si>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</si>
  <si>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</si>
  <si>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</si>
  <si>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</si>
  <si>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</si>
  <si>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</si>
  <si>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</si>
  <si>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</si>
  <si>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</si>
  <si>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</si>
  <si>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</si>
  <si>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</si>
  <si>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</si>
  <si>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</si>
  <si>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</si>
  <si>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</si>
  <si>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</si>
  <si>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</si>
  <si>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</si>
  <si>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</si>
  <si>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</si>
  <si>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</si>
  <si>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</si>
  <si>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</si>
  <si>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</si>
  <si>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</si>
  <si>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</si>
  <si>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</si>
  <si>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</si>
  <si>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</si>
  <si>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</si>
  <si>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</si>
  <si>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</si>
  <si>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</si>
  <si>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</si>
  <si>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</si>
  <si>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</si>
  <si>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</si>
  <si>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</si>
  <si>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</si>
  <si>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</si>
  <si>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</si>
  <si>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</si>
  <si>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</si>
  <si>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</si>
  <si>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</si>
  <si>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</si>
  <si>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</si>
  <si>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</si>
  <si>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</si>
  <si>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</si>
  <si>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</si>
  <si>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</si>
  <si>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</si>
  <si>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</si>
  <si>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</si>
  <si>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</si>
  <si>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</si>
  <si>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</si>
  <si>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</si>
  <si>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</si>
  <si>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</si>
  <si>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</si>
  <si>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</si>
  <si>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</si>
  <si>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</si>
  <si>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</si>
  <si>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</si>
  <si>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</si>
  <si>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</si>
  <si>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</si>
  <si>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</si>
  <si>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</si>
  <si>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</si>
  <si>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</si>
  <si>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</si>
  <si>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</si>
  <si>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</si>
  <si>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</si>
  <si>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</si>
  <si>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</si>
  <si>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</si>
  <si>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</si>
  <si>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</si>
  <si>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</si>
  <si>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</si>
  <si>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</si>
  <si>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</si>
  <si>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</si>
  <si>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</si>
  <si>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</si>
  <si>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</si>
  <si>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</si>
  <si>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</si>
  <si>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</si>
  <si>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</si>
  <si>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</si>
  <si>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</si>
  <si>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</si>
  <si>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</si>
  <si>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</si>
  <si>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</si>
  <si>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</si>
  <si>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</si>
  <si>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</si>
  <si>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</si>
  <si>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</si>
  <si>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</si>
  <si>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</si>
  <si>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</si>
  <si>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</si>
  <si>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</si>
  <si>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</si>
  <si>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</si>
  <si>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</si>
  <si>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</si>
  <si>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</si>
  <si>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</si>
  <si>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</si>
  <si>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</si>
  <si>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</si>
  <si>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</si>
  <si>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</si>
  <si>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</si>
  <si>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</si>
  <si>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</si>
  <si>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</si>
  <si>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</si>
  <si>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</si>
  <si>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</si>
  <si>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</si>
  <si>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</si>
  <si>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</si>
  <si>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</si>
  <si>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</si>
  <si>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</si>
  <si>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</si>
  <si>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</si>
  <si>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</si>
  <si>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</si>
  <si>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</si>
  <si>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</si>
  <si>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</si>
  <si>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</si>
  <si>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</si>
  <si>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</si>
  <si>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</si>
  <si>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</si>
  <si>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</si>
  <si>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</si>
  <si>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</si>
  <si>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</si>
  <si>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</si>
  <si>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</si>
  <si>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</si>
  <si>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</si>
  <si>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</si>
  <si>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</si>
  <si>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</si>
  <si>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</si>
  <si>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</si>
  <si>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</si>
  <si>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</si>
  <si>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</si>
  <si>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</si>
  <si>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</si>
  <si>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</si>
  <si>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</si>
  <si>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</si>
  <si>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</si>
  <si>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</si>
  <si>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</si>
  <si>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</si>
  <si>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</si>
  <si>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</si>
  <si>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</si>
  <si>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</si>
  <si>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</si>
  <si>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</si>
  <si>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</si>
  <si>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</si>
  <si>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</si>
  <si>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</si>
  <si>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</si>
  <si>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</si>
  <si>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</si>
  <si>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</si>
  <si>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</si>
  <si>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</si>
  <si>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</si>
  <si>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</si>
  <si>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</si>
  <si>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</si>
  <si>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</si>
  <si>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</si>
  <si>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</si>
  <si>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</si>
  <si>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</si>
  <si>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</si>
  <si>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</si>
  <si>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</si>
  <si>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</si>
  <si>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</si>
  <si>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</si>
  <si>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</si>
  <si>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</si>
  <si>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</si>
  <si>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</si>
  <si>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</si>
  <si>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</si>
  <si>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</si>
  <si>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</si>
  <si>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</si>
  <si>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</si>
  <si>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</si>
  <si>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</si>
  <si>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</si>
  <si>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</si>
  <si>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</si>
  <si>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</si>
  <si>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</si>
  <si>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</si>
  <si>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</si>
  <si>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</si>
  <si>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</si>
  <si>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</si>
  <si>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</si>
  <si>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</si>
  <si>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</si>
  <si>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</si>
  <si>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</si>
  <si>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</si>
  <si>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</si>
  <si>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</si>
  <si>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</si>
  <si>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</si>
  <si>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</si>
  <si>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</si>
  <si>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</si>
  <si>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</si>
  <si>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</si>
  <si>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</si>
  <si>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</si>
  <si>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</si>
  <si>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</si>
  <si>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</si>
  <si>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</si>
  <si>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</si>
  <si>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</si>
  <si>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</si>
  <si>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</si>
  <si>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</si>
  <si>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</si>
  <si>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</si>
  <si>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</si>
  <si>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</si>
  <si>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</si>
  <si>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</si>
  <si>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</si>
  <si>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</si>
  <si>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</si>
  <si>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</si>
  <si>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</si>
  <si>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</si>
  <si>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</si>
  <si>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</si>
  <si>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</si>
  <si>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</si>
  <si>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</si>
  <si>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</si>
  <si>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</si>
  <si>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</si>
  <si>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</si>
  <si>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</si>
  <si>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</si>
  <si>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</si>
  <si>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</si>
  <si>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</si>
  <si>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</si>
  <si>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</si>
  <si>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</si>
  <si>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</si>
  <si>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</si>
  <si>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</si>
  <si>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</si>
  <si>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</si>
  <si>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</si>
  <si>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</si>
  <si>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</si>
  <si>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</si>
  <si>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</si>
  <si>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</si>
  <si>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</si>
  <si>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</si>
  <si>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</si>
  <si>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</si>
  <si>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</si>
  <si>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</si>
  <si>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</si>
  <si>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</si>
  <si>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</si>
  <si>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</si>
  <si>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</si>
  <si>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</si>
  <si>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</si>
  <si>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</si>
  <si>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</si>
  <si>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</si>
  <si>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</si>
  <si>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</si>
  <si>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</si>
  <si>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</si>
  <si>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</si>
  <si>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</si>
  <si>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</si>
  <si>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</si>
  <si>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</si>
  <si>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</si>
  <si>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</si>
  <si>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</si>
  <si>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</si>
  <si>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</si>
  <si>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</si>
  <si>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</si>
  <si>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</si>
  <si>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</si>
  <si>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</si>
  <si>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</si>
  <si>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</si>
  <si>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</si>
  <si>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</si>
  <si>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</si>
  <si>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</si>
  <si>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</si>
  <si>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</si>
  <si>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</si>
  <si>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</si>
  <si>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</si>
  <si>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</si>
  <si>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</si>
  <si>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</si>
  <si>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</si>
  <si>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</si>
  <si>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</si>
  <si>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</si>
  <si>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</si>
  <si>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</si>
  <si>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</si>
  <si>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</si>
  <si>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</si>
  <si>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</si>
  <si>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</si>
  <si>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</si>
  <si>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</si>
  <si>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</si>
  <si>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</si>
  <si>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</si>
  <si>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</si>
  <si>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</si>
  <si>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</si>
  <si>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</si>
  <si>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</si>
  <si>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</si>
  <si>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</si>
  <si>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</si>
  <si>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</si>
  <si>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</si>
  <si>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</si>
  <si>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</si>
  <si>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</si>
  <si>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</si>
  <si>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</si>
  <si>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</si>
  <si>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</si>
  <si>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</si>
  <si>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</si>
  <si>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</si>
  <si>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</si>
  <si>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</si>
  <si>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</si>
  <si>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</si>
  <si>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</si>
  <si>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</si>
  <si>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</si>
  <si>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</si>
  <si>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</si>
  <si>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</si>
  <si>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</si>
  <si>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</si>
  <si>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</si>
  <si>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</si>
  <si>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</si>
  <si>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</si>
  <si>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</si>
  <si>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</si>
  <si>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</si>
  <si>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</si>
  <si>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</si>
  <si>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</si>
  <si>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</si>
  <si>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</si>
  <si>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</si>
  <si>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</si>
  <si>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</si>
  <si>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</si>
  <si>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</si>
  <si>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</si>
  <si>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</si>
  <si>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</si>
  <si>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</si>
  <si>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</si>
  <si>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</si>
  <si>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</si>
  <si>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</si>
  <si>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</si>
  <si>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</si>
  <si>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</si>
  <si>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</si>
  <si>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</si>
  <si>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</si>
  <si>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</si>
  <si>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</si>
  <si>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</si>
  <si>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</si>
  <si>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</si>
  <si>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</si>
  <si>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</si>
  <si>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</si>
  <si>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</si>
  <si>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</si>
  <si>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</si>
  <si>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</si>
  <si>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</si>
  <si>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</si>
  <si>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</si>
  <si>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</si>
  <si>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</si>
  <si>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</si>
  <si>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</si>
  <si>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</si>
  <si>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</si>
  <si>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</si>
  <si>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</si>
  <si>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</si>
  <si>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</si>
  <si>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</si>
  <si>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</si>
  <si>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</si>
  <si>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</si>
  <si>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</si>
  <si>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</si>
  <si>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</si>
  <si>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</si>
  <si>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</si>
  <si>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</si>
  <si>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</si>
  <si>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</si>
  <si>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</si>
  <si>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</si>
  <si>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</si>
  <si>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</si>
  <si>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</si>
  <si>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</si>
  <si>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</si>
  <si>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</si>
  <si>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</si>
  <si>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</si>
  <si>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</si>
  <si>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</si>
  <si>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</si>
  <si>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</si>
  <si>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</si>
  <si>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</si>
  <si>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</si>
  <si>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</si>
  <si>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</si>
  <si>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</si>
  <si>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</si>
  <si>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</si>
  <si>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</si>
  <si>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</si>
  <si>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</si>
  <si>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</si>
  <si>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</si>
  <si>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</si>
  <si>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</si>
  <si>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</si>
  <si>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</si>
  <si>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</si>
  <si>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</si>
  <si>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</si>
  <si>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</si>
  <si>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</si>
  <si>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</si>
  <si>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</si>
  <si>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</si>
  <si>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</si>
  <si>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</si>
  <si>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</si>
  <si>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</si>
  <si>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</si>
  <si>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</si>
  <si>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</si>
  <si>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</si>
  <si>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</si>
  <si>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</si>
  <si>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</si>
  <si>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</si>
  <si>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</si>
  <si>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</si>
  <si>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</si>
  <si>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</si>
  <si>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</si>
  <si>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</si>
  <si>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</si>
  <si>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</si>
  <si>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</si>
  <si>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</si>
  <si>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</si>
  <si>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</si>
  <si>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</si>
  <si>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</si>
  <si>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</si>
  <si>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</si>
  <si>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</si>
  <si>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</si>
  <si>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</si>
  <si>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</si>
  <si>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</si>
  <si>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</si>
  <si>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</si>
  <si>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</si>
  <si>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</si>
  <si>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</si>
  <si>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</si>
  <si>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</si>
  <si>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</si>
  <si>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</si>
  <si>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</si>
  <si>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</si>
  <si>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</si>
  <si>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</si>
  <si>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</si>
  <si>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</si>
  <si>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</si>
  <si>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</si>
  <si>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</si>
  <si>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</si>
  <si>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</si>
  <si>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</si>
  <si>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</si>
  <si>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</si>
  <si>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</si>
  <si>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</si>
  <si>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</si>
  <si>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</si>
  <si>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</si>
  <si>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</si>
  <si>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</si>
  <si>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</si>
  <si>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</si>
  <si>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</si>
  <si>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</si>
  <si>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</si>
  <si>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</si>
  <si>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</si>
  <si>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</si>
  <si>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</si>
  <si>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</si>
  <si>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</si>
  <si>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</si>
  <si>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</si>
  <si>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</si>
  <si>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وتوسم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</si>
  <si>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</si>
  <si>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</si>
  <si>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</si>
  <si>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</si>
  <si>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</si>
  <si>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</si>
  <si>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وصنعت 80808 تا 139.5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</si>
  <si>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</si>
  <si>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</si>
  <si>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</si>
  <si>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</si>
  <si>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</si>
  <si>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</si>
  <si>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</si>
  <si>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</si>
  <si>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</si>
  <si>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</si>
  <si>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</si>
  <si>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</si>
  <si>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</si>
  <si>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</si>
  <si>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</si>
  <si>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 xml:space="preserve"> وصنعت</t>
  </si>
  <si>
    <t>وغدیر 48028 تا 192.1</t>
  </si>
  <si>
    <t>وتوسم 23952 تا 185.8</t>
  </si>
  <si>
    <t>وبانک 4602 تا 313.7</t>
  </si>
  <si>
    <t>7/8/1397</t>
  </si>
  <si>
    <t>وبانک 1265 تا 314.8</t>
  </si>
  <si>
    <t>وبانک 27637 تا 313</t>
  </si>
  <si>
    <t>وصنعت 21179 تا 141</t>
  </si>
  <si>
    <t xml:space="preserve">وبانک </t>
  </si>
  <si>
    <t>سهم علی خرید و فروش 50000 تا وغدیر 7/8</t>
  </si>
  <si>
    <t>وغدیر 44349 تا 214.57</t>
  </si>
  <si>
    <t>وصنعت 76344 تا 141.7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</si>
  <si>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</si>
  <si>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</si>
  <si>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</si>
  <si>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</si>
  <si>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</si>
  <si>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</si>
  <si>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</si>
  <si>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</si>
  <si>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</si>
  <si>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</si>
  <si>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</si>
  <si>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</si>
  <si>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</si>
  <si>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</si>
  <si>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</si>
  <si>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</si>
  <si>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</si>
  <si>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</si>
  <si>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</si>
  <si>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</si>
  <si>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</si>
  <si>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</si>
  <si>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</si>
  <si>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</si>
  <si>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</si>
  <si>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</si>
  <si>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</si>
  <si>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</si>
  <si>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</si>
  <si>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</si>
  <si>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</si>
  <si>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</si>
  <si>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</si>
  <si>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 xml:space="preserve">بدهی به حاج خانم 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</si>
  <si>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</si>
  <si>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</si>
  <si>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</si>
  <si>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</si>
  <si>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</si>
  <si>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</si>
  <si>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وتوسم 53372 تا 185.7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</si>
  <si>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</si>
  <si>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</si>
  <si>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</si>
  <si>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</si>
  <si>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</si>
  <si>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</si>
  <si>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</si>
  <si>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</si>
  <si>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</si>
  <si>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</si>
  <si>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</si>
  <si>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</si>
  <si>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</si>
  <si>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</si>
  <si>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</si>
  <si>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</si>
  <si>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شبصیر 126 تا 850</t>
  </si>
  <si>
    <t>شبصیر</t>
  </si>
  <si>
    <t>شبصیر 125 تا 850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</si>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</sst>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90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78000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43000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58000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12000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13000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2400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24000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25000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18500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53000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18000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12000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27000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16000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14000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12000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243000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28" workbookViewId="0">
      <selection activeCell="E15" sqref="E15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4348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4356</v>
      </c>
      <c r="B4" s="18">
        <v>-3200000</v>
      </c>
      <c r="C4" s="18">
        <v>0</v>
      </c>
      <c r="D4" s="113">
        <f t="shared" si="0"/>
        <v>-3200000</v>
      </c>
      <c r="E4" s="99" t="s">
        <v>4371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4356</v>
      </c>
      <c r="B5" s="18">
        <v>2400000</v>
      </c>
      <c r="C5" s="18">
        <v>0</v>
      </c>
      <c r="D5" s="113">
        <f t="shared" si="0"/>
        <v>2400000</v>
      </c>
      <c r="E5" s="20" t="s">
        <v>4374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4382</v>
      </c>
      <c r="B6" s="18">
        <v>-2000700</v>
      </c>
      <c r="C6" s="18">
        <v>0</v>
      </c>
      <c r="D6" s="113">
        <f t="shared" si="0"/>
        <v>-2000700</v>
      </c>
      <c r="E6" s="19" t="s">
        <v>4383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4382</v>
      </c>
      <c r="B7" s="18">
        <v>-200000</v>
      </c>
      <c r="C7" s="18">
        <v>0</v>
      </c>
      <c r="D7" s="113">
        <f t="shared" si="0"/>
        <v>-200000</v>
      </c>
      <c r="E7" s="19" t="s">
        <v>4384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4382</v>
      </c>
      <c r="B8" s="18">
        <v>-1900000</v>
      </c>
      <c r="C8" s="18">
        <v>0</v>
      </c>
      <c r="D8" s="113">
        <f t="shared" si="0"/>
        <v>-1900000</v>
      </c>
      <c r="E8" s="19" t="s">
        <v>4385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4389</v>
      </c>
      <c r="B9" s="18">
        <v>-50000</v>
      </c>
      <c r="C9" s="18">
        <v>0</v>
      </c>
      <c r="D9" s="113">
        <f t="shared" si="0"/>
        <v>-50000</v>
      </c>
      <c r="E9" s="21" t="s">
        <v>4390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4405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4405</v>
      </c>
      <c r="B11" s="18">
        <v>-3000900</v>
      </c>
      <c r="C11" s="18">
        <v>0</v>
      </c>
      <c r="D11" s="113">
        <f t="shared" si="0"/>
        <v>-3000900</v>
      </c>
      <c r="E11" s="19" t="s">
        <v>4414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4406</v>
      </c>
      <c r="B12" s="18">
        <v>-3000900</v>
      </c>
      <c r="C12" s="18">
        <v>0</v>
      </c>
      <c r="D12" s="113">
        <f t="shared" si="0"/>
        <v>-3000900</v>
      </c>
      <c r="E12" s="20" t="s">
        <v>4414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4406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4429</v>
      </c>
      <c r="B14" s="18">
        <v>-138360</v>
      </c>
      <c r="C14" s="18">
        <v>0</v>
      </c>
      <c r="D14" s="113">
        <f t="shared" si="0"/>
        <v>-138360</v>
      </c>
      <c r="E14" s="20" t="s">
        <v>4430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4432</v>
      </c>
      <c r="B15" s="18">
        <v>-3000900</v>
      </c>
      <c r="C15" s="18">
        <v>0</v>
      </c>
      <c r="D15" s="117">
        <f t="shared" si="0"/>
        <v>-3000900</v>
      </c>
      <c r="E15" s="20" t="s">
        <v>4414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4260</v>
      </c>
      <c r="B16" s="18">
        <v>0</v>
      </c>
      <c r="C16" s="18">
        <v>0</v>
      </c>
      <c r="D16" s="113">
        <f t="shared" si="0"/>
        <v>0</v>
      </c>
      <c r="E16" s="20"/>
      <c r="F16" s="96">
        <v>16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4275</v>
      </c>
      <c r="B17" s="18">
        <v>0</v>
      </c>
      <c r="C17" s="18">
        <v>0</v>
      </c>
      <c r="D17" s="113">
        <f t="shared" si="0"/>
        <v>0</v>
      </c>
      <c r="E17" s="20"/>
      <c r="F17" s="96">
        <v>8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4124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62378</v>
      </c>
      <c r="C27" s="113">
        <f>SUM(C2:C26)</f>
        <v>7968789</v>
      </c>
      <c r="D27" s="113">
        <f>SUM(D2:D26)</f>
        <v>-7906411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17662640</v>
      </c>
      <c r="H28" s="18">
        <f>SUM(H2:H26)</f>
        <v>239063670</v>
      </c>
      <c r="I28" s="18">
        <f>SUM(I2:I26)</f>
        <v>-221401030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8120.9944832709043</v>
      </c>
      <c r="I33" s="18">
        <f>G33*I28/G28</f>
        <v>-7520.9944832709043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4327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4326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4328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4330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4337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4340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4341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4345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4346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4347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4349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4350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4351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4361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4370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4375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4388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4386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4392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4395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4401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4409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4410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4411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4412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4409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4415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4420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4424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4428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>
      <c r="A65" s="96"/>
      <c r="B65" s="96"/>
      <c r="C65" s="96"/>
      <c r="D65" s="114"/>
      <c r="E65" s="54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>
      <c r="A66" s="96"/>
      <c r="B66" s="96"/>
      <c r="C66" s="96"/>
      <c r="D66" s="114"/>
      <c r="E66" s="54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>
      <c r="A67" s="96"/>
      <c r="B67" s="96"/>
      <c r="C67" s="96"/>
      <c r="D67" s="114"/>
      <c r="E67" s="54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19">
      <c r="A68" s="96"/>
      <c r="B68" s="96"/>
      <c r="C68" s="96"/>
      <c r="D68" s="114"/>
      <c r="E68" s="54" t="s">
        <v>25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</row>
    <row r="69" spans="1:19">
      <c r="A69" s="96"/>
      <c r="B69" s="96"/>
      <c r="C69" s="96"/>
      <c r="D69" s="114"/>
      <c r="E69" s="54" t="s">
        <v>25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</row>
    <row r="70" spans="1:19">
      <c r="A70" s="96"/>
      <c r="B70" s="96"/>
      <c r="C70" s="96"/>
      <c r="D70" s="114">
        <f>SUM(D33:D69)</f>
        <v>-57146703</v>
      </c>
      <c r="E70" s="96" t="s">
        <v>6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</row>
    <row r="71" spans="1:19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</row>
    <row r="72" spans="1:19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19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19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19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19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19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19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19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19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45" activePane="bottomLeft" state="frozen"/>
      <selection pane="bottomLeft" activeCell="F236" sqref="F23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943</v>
      </c>
      <c r="H2" s="36">
        <f>IF(B2&gt;0,1,0)</f>
        <v>1</v>
      </c>
      <c r="I2" s="11">
        <f>B2*(G2-H2)</f>
        <v>15731400</v>
      </c>
      <c r="J2" s="53">
        <f>C2*(G2-H2)</f>
        <v>15731400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942</v>
      </c>
      <c r="H3" s="36">
        <f t="shared" ref="H3:H66" si="2">IF(B3&gt;0,1,0)</f>
        <v>1</v>
      </c>
      <c r="I3" s="11">
        <f t="shared" ref="I3:I66" si="3">B3*(G3-H3)</f>
        <v>18725900000</v>
      </c>
      <c r="J3" s="53">
        <f t="shared" ref="J3:J66" si="4">C3*(G3-H3)</f>
        <v>10715167000</v>
      </c>
      <c r="K3" s="53">
        <f t="shared" ref="K3:K66" si="5">D3*(G3-H3)</f>
        <v>8010733000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942</v>
      </c>
      <c r="H4" s="36">
        <f t="shared" si="2"/>
        <v>0</v>
      </c>
      <c r="I4" s="11">
        <f t="shared" si="3"/>
        <v>0</v>
      </c>
      <c r="J4" s="53">
        <f t="shared" si="4"/>
        <v>8007000</v>
      </c>
      <c r="K4" s="53">
        <f t="shared" si="5"/>
        <v>-8007000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940</v>
      </c>
      <c r="H5" s="36">
        <f t="shared" si="2"/>
        <v>1</v>
      </c>
      <c r="I5" s="11">
        <f t="shared" si="3"/>
        <v>1878000000</v>
      </c>
      <c r="J5" s="53">
        <f t="shared" si="4"/>
        <v>0</v>
      </c>
      <c r="K5" s="53">
        <f t="shared" si="5"/>
        <v>1878000000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933</v>
      </c>
      <c r="H6" s="36">
        <f t="shared" si="2"/>
        <v>0</v>
      </c>
      <c r="I6" s="11">
        <f t="shared" si="3"/>
        <v>-4665000</v>
      </c>
      <c r="J6" s="53">
        <f t="shared" si="4"/>
        <v>0</v>
      </c>
      <c r="K6" s="53">
        <f t="shared" si="5"/>
        <v>-4665000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929</v>
      </c>
      <c r="H7" s="36">
        <f t="shared" si="2"/>
        <v>0</v>
      </c>
      <c r="I7" s="11">
        <f t="shared" si="3"/>
        <v>-1115264500</v>
      </c>
      <c r="J7" s="53">
        <f t="shared" si="4"/>
        <v>0</v>
      </c>
      <c r="K7" s="53">
        <f t="shared" si="5"/>
        <v>-1115264500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928</v>
      </c>
      <c r="H8" s="36">
        <f t="shared" si="2"/>
        <v>0</v>
      </c>
      <c r="I8" s="11">
        <f t="shared" si="3"/>
        <v>-185600000</v>
      </c>
      <c r="J8" s="53">
        <f t="shared" si="4"/>
        <v>0</v>
      </c>
      <c r="K8" s="53">
        <f t="shared" si="5"/>
        <v>-185600000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926</v>
      </c>
      <c r="H9" s="36">
        <f t="shared" si="2"/>
        <v>0</v>
      </c>
      <c r="I9" s="11">
        <f t="shared" si="3"/>
        <v>-653293000</v>
      </c>
      <c r="J9" s="53">
        <f t="shared" si="4"/>
        <v>0</v>
      </c>
      <c r="K9" s="53">
        <f t="shared" si="5"/>
        <v>-653293000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917</v>
      </c>
      <c r="H10" s="36">
        <f t="shared" si="2"/>
        <v>0</v>
      </c>
      <c r="I10" s="11">
        <f t="shared" si="3"/>
        <v>-183400000</v>
      </c>
      <c r="J10" s="53">
        <f t="shared" si="4"/>
        <v>0</v>
      </c>
      <c r="K10" s="53">
        <f t="shared" si="5"/>
        <v>-183400000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917</v>
      </c>
      <c r="H11" s="36">
        <f t="shared" si="2"/>
        <v>1</v>
      </c>
      <c r="I11" s="11">
        <f t="shared" si="3"/>
        <v>916000000</v>
      </c>
      <c r="J11" s="53">
        <f t="shared" si="4"/>
        <v>0</v>
      </c>
      <c r="K11" s="53">
        <f t="shared" si="5"/>
        <v>916000000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913</v>
      </c>
      <c r="H12" s="36">
        <f t="shared" si="2"/>
        <v>0</v>
      </c>
      <c r="I12" s="11">
        <f t="shared" si="3"/>
        <v>-273900000</v>
      </c>
      <c r="J12" s="53">
        <f t="shared" si="4"/>
        <v>0</v>
      </c>
      <c r="K12" s="53">
        <f t="shared" si="5"/>
        <v>-273900000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908</v>
      </c>
      <c r="H13" s="36">
        <f t="shared" si="2"/>
        <v>0</v>
      </c>
      <c r="I13" s="11">
        <f t="shared" si="3"/>
        <v>-56296000</v>
      </c>
      <c r="J13" s="53">
        <f t="shared" si="4"/>
        <v>0</v>
      </c>
      <c r="K13" s="53">
        <f t="shared" si="5"/>
        <v>-56296000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908</v>
      </c>
      <c r="H14" s="36">
        <f t="shared" si="2"/>
        <v>1</v>
      </c>
      <c r="I14" s="11">
        <f t="shared" si="3"/>
        <v>1814000000</v>
      </c>
      <c r="J14" s="53">
        <f t="shared" si="4"/>
        <v>0</v>
      </c>
      <c r="K14" s="53">
        <f t="shared" si="5"/>
        <v>1814000000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907</v>
      </c>
      <c r="H15" s="36">
        <f t="shared" si="2"/>
        <v>1</v>
      </c>
      <c r="I15" s="11">
        <f t="shared" si="3"/>
        <v>1630800000</v>
      </c>
      <c r="J15" s="53">
        <f t="shared" si="4"/>
        <v>0</v>
      </c>
      <c r="K15" s="53">
        <f t="shared" si="5"/>
        <v>1630800000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907</v>
      </c>
      <c r="H16" s="36">
        <f t="shared" si="2"/>
        <v>0</v>
      </c>
      <c r="I16" s="11">
        <f t="shared" si="3"/>
        <v>-181400000</v>
      </c>
      <c r="J16" s="53">
        <f t="shared" si="4"/>
        <v>0</v>
      </c>
      <c r="K16" s="53">
        <f t="shared" si="5"/>
        <v>-181400000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903</v>
      </c>
      <c r="H17" s="36">
        <f t="shared" si="2"/>
        <v>0</v>
      </c>
      <c r="I17" s="11">
        <f t="shared" si="3"/>
        <v>-1806000000</v>
      </c>
      <c r="J17" s="53">
        <f t="shared" si="4"/>
        <v>0</v>
      </c>
      <c r="K17" s="53">
        <f t="shared" si="5"/>
        <v>-1806000000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902</v>
      </c>
      <c r="H18" s="36">
        <f t="shared" si="2"/>
        <v>0</v>
      </c>
      <c r="I18" s="11">
        <f t="shared" si="3"/>
        <v>-270600000</v>
      </c>
      <c r="J18" s="53">
        <f t="shared" si="4"/>
        <v>0</v>
      </c>
      <c r="K18" s="53">
        <f t="shared" si="5"/>
        <v>-270600000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901</v>
      </c>
      <c r="H19" s="36">
        <f t="shared" si="2"/>
        <v>0</v>
      </c>
      <c r="I19" s="11">
        <f t="shared" si="3"/>
        <v>-180200000</v>
      </c>
      <c r="J19" s="53">
        <f t="shared" si="4"/>
        <v>0</v>
      </c>
      <c r="K19" s="53">
        <f t="shared" si="5"/>
        <v>-180200000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899</v>
      </c>
      <c r="H20" s="36">
        <f t="shared" si="2"/>
        <v>1</v>
      </c>
      <c r="I20" s="11">
        <f t="shared" si="3"/>
        <v>243437922</v>
      </c>
      <c r="J20" s="53">
        <f t="shared" si="4"/>
        <v>132411896</v>
      </c>
      <c r="K20" s="53">
        <f t="shared" si="5"/>
        <v>111026026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897</v>
      </c>
      <c r="H21" s="36">
        <f t="shared" si="2"/>
        <v>0</v>
      </c>
      <c r="I21" s="11">
        <f t="shared" si="3"/>
        <v>-1350612900</v>
      </c>
      <c r="J21" s="53">
        <f t="shared" si="4"/>
        <v>0</v>
      </c>
      <c r="K21" s="53">
        <f t="shared" si="5"/>
        <v>-1350612900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894</v>
      </c>
      <c r="H22" s="36">
        <f t="shared" si="2"/>
        <v>1</v>
      </c>
      <c r="I22" s="11">
        <f t="shared" si="3"/>
        <v>2679000000</v>
      </c>
      <c r="J22" s="53">
        <f t="shared" si="4"/>
        <v>0</v>
      </c>
      <c r="K22" s="53">
        <f t="shared" si="5"/>
        <v>2679000000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893</v>
      </c>
      <c r="H23" s="36">
        <f t="shared" si="2"/>
        <v>1</v>
      </c>
      <c r="I23" s="11">
        <f t="shared" si="3"/>
        <v>892000000</v>
      </c>
      <c r="J23" s="53">
        <f t="shared" si="4"/>
        <v>0</v>
      </c>
      <c r="K23" s="53">
        <f t="shared" si="5"/>
        <v>892000000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892</v>
      </c>
      <c r="H24" s="36">
        <f t="shared" si="2"/>
        <v>0</v>
      </c>
      <c r="I24" s="11">
        <f t="shared" si="3"/>
        <v>-2676802800</v>
      </c>
      <c r="J24" s="53">
        <f t="shared" si="4"/>
        <v>0</v>
      </c>
      <c r="K24" s="53">
        <f t="shared" si="5"/>
        <v>-2676802800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877</v>
      </c>
      <c r="H25" s="36">
        <f t="shared" si="2"/>
        <v>1</v>
      </c>
      <c r="I25" s="11">
        <f t="shared" si="3"/>
        <v>1314000000</v>
      </c>
      <c r="J25" s="53">
        <f t="shared" si="4"/>
        <v>0</v>
      </c>
      <c r="K25" s="53">
        <f t="shared" si="5"/>
        <v>1314000000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869</v>
      </c>
      <c r="H26" s="36">
        <f t="shared" si="2"/>
        <v>0</v>
      </c>
      <c r="I26" s="11">
        <f t="shared" si="3"/>
        <v>-142516000</v>
      </c>
      <c r="J26" s="53">
        <f t="shared" si="4"/>
        <v>0</v>
      </c>
      <c r="K26" s="53">
        <f t="shared" si="5"/>
        <v>-142516000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868</v>
      </c>
      <c r="H27" s="36">
        <f t="shared" si="2"/>
        <v>1</v>
      </c>
      <c r="I27" s="11">
        <f t="shared" si="3"/>
        <v>172873731</v>
      </c>
      <c r="J27" s="53">
        <f t="shared" si="4"/>
        <v>93127071</v>
      </c>
      <c r="K27" s="53">
        <f t="shared" si="5"/>
        <v>79746660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866</v>
      </c>
      <c r="H28" s="36">
        <f t="shared" si="2"/>
        <v>0</v>
      </c>
      <c r="I28" s="11">
        <f t="shared" si="3"/>
        <v>-191386000</v>
      </c>
      <c r="J28" s="53">
        <f t="shared" si="4"/>
        <v>-191386000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866</v>
      </c>
      <c r="H29" s="36">
        <f t="shared" si="2"/>
        <v>0</v>
      </c>
      <c r="I29" s="11">
        <f t="shared" si="3"/>
        <v>-433433000</v>
      </c>
      <c r="J29" s="53">
        <f t="shared" si="4"/>
        <v>0</v>
      </c>
      <c r="K29" s="53">
        <f t="shared" si="5"/>
        <v>-433433000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866</v>
      </c>
      <c r="H30" s="36">
        <f t="shared" si="2"/>
        <v>0</v>
      </c>
      <c r="I30" s="11">
        <f t="shared" si="3"/>
        <v>-12990000000</v>
      </c>
      <c r="J30" s="53">
        <f t="shared" si="4"/>
        <v>-12990000000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849</v>
      </c>
      <c r="H31" s="36">
        <f t="shared" si="2"/>
        <v>0</v>
      </c>
      <c r="I31" s="11">
        <f t="shared" si="3"/>
        <v>-2556254100</v>
      </c>
      <c r="J31" s="53">
        <f t="shared" si="4"/>
        <v>0</v>
      </c>
      <c r="K31" s="53">
        <f t="shared" si="5"/>
        <v>-2556254100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847</v>
      </c>
      <c r="H32" s="36">
        <f t="shared" si="2"/>
        <v>0</v>
      </c>
      <c r="I32" s="11">
        <f t="shared" si="3"/>
        <v>-2545997300</v>
      </c>
      <c r="J32" s="53">
        <f t="shared" si="4"/>
        <v>0</v>
      </c>
      <c r="K32" s="53">
        <f t="shared" si="5"/>
        <v>-2545997300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846</v>
      </c>
      <c r="H33" s="36">
        <f t="shared" si="2"/>
        <v>0</v>
      </c>
      <c r="I33" s="11">
        <f t="shared" si="3"/>
        <v>-757593000</v>
      </c>
      <c r="J33" s="53">
        <f t="shared" si="4"/>
        <v>0</v>
      </c>
      <c r="K33" s="53">
        <f t="shared" si="5"/>
        <v>-757593000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846</v>
      </c>
      <c r="H34" s="36">
        <f t="shared" si="2"/>
        <v>0</v>
      </c>
      <c r="I34" s="11">
        <f t="shared" si="3"/>
        <v>0</v>
      </c>
      <c r="J34" s="53">
        <f t="shared" si="4"/>
        <v>846000000</v>
      </c>
      <c r="K34" s="53">
        <f t="shared" si="5"/>
        <v>-846000000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837</v>
      </c>
      <c r="H35" s="36">
        <f t="shared" si="2"/>
        <v>1</v>
      </c>
      <c r="I35" s="11">
        <f t="shared" si="3"/>
        <v>43866592</v>
      </c>
      <c r="J35" s="53">
        <f t="shared" si="4"/>
        <v>-18110268</v>
      </c>
      <c r="K35" s="53">
        <f t="shared" si="5"/>
        <v>61976860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837</v>
      </c>
      <c r="H36" s="36">
        <f t="shared" si="2"/>
        <v>0</v>
      </c>
      <c r="I36" s="11">
        <f t="shared" si="3"/>
        <v>0</v>
      </c>
      <c r="J36" s="53">
        <f t="shared" si="4"/>
        <v>18131931</v>
      </c>
      <c r="K36" s="53">
        <f t="shared" si="5"/>
        <v>-18131931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827</v>
      </c>
      <c r="H37" s="36">
        <f t="shared" si="2"/>
        <v>0</v>
      </c>
      <c r="I37" s="11">
        <f t="shared" si="3"/>
        <v>-45485000</v>
      </c>
      <c r="J37" s="53">
        <f t="shared" si="4"/>
        <v>0</v>
      </c>
      <c r="K37" s="53">
        <f t="shared" si="5"/>
        <v>-45485000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826</v>
      </c>
      <c r="H38" s="36">
        <f t="shared" si="2"/>
        <v>1</v>
      </c>
      <c r="I38" s="11">
        <f t="shared" si="3"/>
        <v>2475000000</v>
      </c>
      <c r="J38" s="53">
        <f t="shared" si="4"/>
        <v>2475000000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825</v>
      </c>
      <c r="H39" s="36">
        <f t="shared" si="2"/>
        <v>1</v>
      </c>
      <c r="I39" s="11">
        <f t="shared" si="3"/>
        <v>2060000000</v>
      </c>
      <c r="J39" s="53">
        <f t="shared" si="4"/>
        <v>2060000000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825</v>
      </c>
      <c r="H40" s="36">
        <f t="shared" si="2"/>
        <v>0</v>
      </c>
      <c r="I40" s="11">
        <f t="shared" si="3"/>
        <v>-41250000</v>
      </c>
      <c r="J40" s="53">
        <f t="shared" si="4"/>
        <v>0</v>
      </c>
      <c r="K40" s="53">
        <f t="shared" si="5"/>
        <v>-41250000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825</v>
      </c>
      <c r="H41" s="36">
        <f t="shared" si="2"/>
        <v>1</v>
      </c>
      <c r="I41" s="11">
        <f t="shared" si="3"/>
        <v>2472000000</v>
      </c>
      <c r="J41" s="53">
        <f t="shared" si="4"/>
        <v>0</v>
      </c>
      <c r="K41" s="53">
        <f t="shared" si="5"/>
        <v>2472000000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822</v>
      </c>
      <c r="H42" s="36">
        <f t="shared" si="2"/>
        <v>0</v>
      </c>
      <c r="I42" s="11">
        <f t="shared" si="3"/>
        <v>-73322400</v>
      </c>
      <c r="J42" s="53">
        <f t="shared" si="4"/>
        <v>0</v>
      </c>
      <c r="K42" s="53">
        <f t="shared" si="5"/>
        <v>-73322400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818</v>
      </c>
      <c r="H43" s="36">
        <f t="shared" si="2"/>
        <v>0</v>
      </c>
      <c r="I43" s="11">
        <f t="shared" si="3"/>
        <v>-163600000</v>
      </c>
      <c r="J43" s="53">
        <f t="shared" si="4"/>
        <v>0</v>
      </c>
      <c r="K43" s="53">
        <f t="shared" si="5"/>
        <v>-163600000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816</v>
      </c>
      <c r="H44" s="36">
        <f t="shared" si="2"/>
        <v>0</v>
      </c>
      <c r="I44" s="11">
        <f t="shared" si="3"/>
        <v>-163200000</v>
      </c>
      <c r="J44" s="53">
        <f t="shared" si="4"/>
        <v>0</v>
      </c>
      <c r="K44" s="53">
        <f t="shared" si="5"/>
        <v>-163200000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816</v>
      </c>
      <c r="H45" s="36">
        <f t="shared" si="2"/>
        <v>0</v>
      </c>
      <c r="I45" s="11">
        <f t="shared" si="3"/>
        <v>-456960000</v>
      </c>
      <c r="J45" s="53">
        <f t="shared" si="4"/>
        <v>0</v>
      </c>
      <c r="K45" s="53">
        <f t="shared" si="5"/>
        <v>-456960000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812</v>
      </c>
      <c r="H46" s="36">
        <f t="shared" si="2"/>
        <v>0</v>
      </c>
      <c r="I46" s="11">
        <f t="shared" si="3"/>
        <v>-572866000</v>
      </c>
      <c r="J46" s="53">
        <f t="shared" si="4"/>
        <v>0</v>
      </c>
      <c r="K46" s="53">
        <f t="shared" si="5"/>
        <v>-572866000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806</v>
      </c>
      <c r="H47" s="36">
        <f t="shared" si="2"/>
        <v>1</v>
      </c>
      <c r="I47" s="11">
        <f t="shared" si="3"/>
        <v>33169220</v>
      </c>
      <c r="J47" s="53">
        <f t="shared" si="4"/>
        <v>5403965</v>
      </c>
      <c r="K47" s="53">
        <f t="shared" si="5"/>
        <v>27765255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806</v>
      </c>
      <c r="H48" s="36">
        <f t="shared" si="2"/>
        <v>1</v>
      </c>
      <c r="I48" s="11">
        <f t="shared" si="3"/>
        <v>1372283500</v>
      </c>
      <c r="J48" s="53">
        <f t="shared" si="4"/>
        <v>0</v>
      </c>
      <c r="K48" s="53">
        <f t="shared" si="5"/>
        <v>1372283500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797</v>
      </c>
      <c r="H49" s="36">
        <f t="shared" si="2"/>
        <v>0</v>
      </c>
      <c r="I49" s="11">
        <f t="shared" si="3"/>
        <v>-123535000</v>
      </c>
      <c r="J49" s="53">
        <f t="shared" si="4"/>
        <v>0</v>
      </c>
      <c r="K49" s="53">
        <f t="shared" si="5"/>
        <v>-123535000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797</v>
      </c>
      <c r="H50" s="36">
        <f t="shared" si="2"/>
        <v>0</v>
      </c>
      <c r="I50" s="11">
        <f t="shared" si="3"/>
        <v>-109986000</v>
      </c>
      <c r="J50" s="53">
        <f t="shared" si="4"/>
        <v>0</v>
      </c>
      <c r="K50" s="53">
        <f t="shared" si="5"/>
        <v>-109986000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797</v>
      </c>
      <c r="H51" s="36">
        <f t="shared" si="2"/>
        <v>0</v>
      </c>
      <c r="I51" s="11">
        <f t="shared" si="3"/>
        <v>-589780000</v>
      </c>
      <c r="J51" s="53">
        <f t="shared" si="4"/>
        <v>0</v>
      </c>
      <c r="K51" s="53">
        <f t="shared" si="5"/>
        <v>-589780000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797</v>
      </c>
      <c r="H52" s="36">
        <f t="shared" si="2"/>
        <v>0</v>
      </c>
      <c r="I52" s="11">
        <f t="shared" si="3"/>
        <v>-159400000</v>
      </c>
      <c r="J52" s="53">
        <f t="shared" si="4"/>
        <v>0</v>
      </c>
      <c r="K52" s="53">
        <f t="shared" si="5"/>
        <v>-159400000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796</v>
      </c>
      <c r="H53" s="36">
        <f t="shared" si="2"/>
        <v>0</v>
      </c>
      <c r="I53" s="11">
        <f t="shared" si="3"/>
        <v>-839780000</v>
      </c>
      <c r="J53" s="53">
        <f t="shared" si="4"/>
        <v>0</v>
      </c>
      <c r="K53" s="53">
        <f t="shared" si="5"/>
        <v>-839780000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796</v>
      </c>
      <c r="H54" s="36">
        <f t="shared" si="2"/>
        <v>0</v>
      </c>
      <c r="I54" s="11">
        <f t="shared" si="3"/>
        <v>-159200000</v>
      </c>
      <c r="J54" s="53">
        <f t="shared" si="4"/>
        <v>0</v>
      </c>
      <c r="K54" s="53">
        <f t="shared" si="5"/>
        <v>-159200000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796</v>
      </c>
      <c r="H55" s="36">
        <f t="shared" si="2"/>
        <v>0</v>
      </c>
      <c r="I55" s="11">
        <f t="shared" si="3"/>
        <v>-796398000</v>
      </c>
      <c r="J55" s="53">
        <f t="shared" si="4"/>
        <v>0</v>
      </c>
      <c r="K55" s="53">
        <f t="shared" si="5"/>
        <v>-796398000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796</v>
      </c>
      <c r="H56" s="36">
        <f t="shared" si="2"/>
        <v>0</v>
      </c>
      <c r="I56" s="11">
        <f t="shared" si="3"/>
        <v>-30248000</v>
      </c>
      <c r="J56" s="53">
        <f t="shared" si="4"/>
        <v>0</v>
      </c>
      <c r="K56" s="53">
        <f t="shared" si="5"/>
        <v>-30248000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796</v>
      </c>
      <c r="H57" s="36">
        <f t="shared" si="2"/>
        <v>0</v>
      </c>
      <c r="I57" s="11">
        <f t="shared" si="3"/>
        <v>-83580000</v>
      </c>
      <c r="J57" s="53">
        <f t="shared" si="4"/>
        <v>0</v>
      </c>
      <c r="K57" s="53">
        <f t="shared" si="5"/>
        <v>-83580000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796</v>
      </c>
      <c r="H58" s="36">
        <f t="shared" si="2"/>
        <v>0</v>
      </c>
      <c r="I58" s="11">
        <f t="shared" si="3"/>
        <v>-47760000</v>
      </c>
      <c r="J58" s="53">
        <f t="shared" si="4"/>
        <v>0</v>
      </c>
      <c r="K58" s="53">
        <f t="shared" si="5"/>
        <v>-47760000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793</v>
      </c>
      <c r="H59" s="36">
        <f t="shared" si="2"/>
        <v>1</v>
      </c>
      <c r="I59" s="11">
        <f t="shared" si="3"/>
        <v>792000000</v>
      </c>
      <c r="J59" s="53">
        <f t="shared" si="4"/>
        <v>792000000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792</v>
      </c>
      <c r="H60" s="36">
        <f t="shared" si="2"/>
        <v>1</v>
      </c>
      <c r="I60" s="11">
        <f t="shared" si="3"/>
        <v>2768500000</v>
      </c>
      <c r="J60" s="53">
        <f t="shared" si="4"/>
        <v>2768500000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790</v>
      </c>
      <c r="H61" s="36">
        <f t="shared" si="2"/>
        <v>1</v>
      </c>
      <c r="I61" s="11">
        <f t="shared" si="3"/>
        <v>789000000</v>
      </c>
      <c r="J61" s="53">
        <f t="shared" si="4"/>
        <v>789000000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790</v>
      </c>
      <c r="H62" s="36">
        <f t="shared" si="2"/>
        <v>1</v>
      </c>
      <c r="I62" s="11">
        <f t="shared" si="3"/>
        <v>2367000000</v>
      </c>
      <c r="J62" s="53">
        <f t="shared" si="4"/>
        <v>2367000000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788</v>
      </c>
      <c r="H63" s="36">
        <f t="shared" si="2"/>
        <v>0</v>
      </c>
      <c r="I63" s="11">
        <f t="shared" si="3"/>
        <v>-157600000</v>
      </c>
      <c r="J63" s="53">
        <f t="shared" si="4"/>
        <v>0</v>
      </c>
      <c r="K63" s="53">
        <f t="shared" si="5"/>
        <v>-157600000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783</v>
      </c>
      <c r="H64" s="36">
        <f t="shared" si="2"/>
        <v>0</v>
      </c>
      <c r="I64" s="11">
        <f t="shared" si="3"/>
        <v>-39150000</v>
      </c>
      <c r="J64" s="53">
        <f t="shared" si="4"/>
        <v>0</v>
      </c>
      <c r="K64" s="53">
        <f t="shared" si="5"/>
        <v>-39150000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779</v>
      </c>
      <c r="H65" s="36">
        <f t="shared" si="2"/>
        <v>0</v>
      </c>
      <c r="I65" s="11">
        <f t="shared" si="3"/>
        <v>-155800000</v>
      </c>
      <c r="J65" s="53">
        <f t="shared" si="4"/>
        <v>0</v>
      </c>
      <c r="K65" s="53">
        <f t="shared" si="5"/>
        <v>-155800000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776</v>
      </c>
      <c r="H66" s="36">
        <f t="shared" si="2"/>
        <v>0</v>
      </c>
      <c r="I66" s="11">
        <f t="shared" si="3"/>
        <v>-131920000</v>
      </c>
      <c r="J66" s="53">
        <f t="shared" si="4"/>
        <v>0</v>
      </c>
      <c r="K66" s="53">
        <f t="shared" si="5"/>
        <v>-131920000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775</v>
      </c>
      <c r="H67" s="36">
        <f t="shared" ref="H67:H131" si="8">IF(B67&gt;0,1,0)</f>
        <v>1</v>
      </c>
      <c r="I67" s="11">
        <f t="shared" ref="I67:I119" si="9">B67*(G67-H67)</f>
        <v>70685550</v>
      </c>
      <c r="J67" s="53">
        <f t="shared" ref="J67:J131" si="10">C67*(G67-H67)</f>
        <v>50869602</v>
      </c>
      <c r="K67" s="53">
        <f t="shared" ref="K67:K131" si="11">D67*(G67-H67)</f>
        <v>19815948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757</v>
      </c>
      <c r="H68" s="36">
        <f t="shared" si="8"/>
        <v>0</v>
      </c>
      <c r="I68" s="11">
        <f t="shared" si="9"/>
        <v>-109765000</v>
      </c>
      <c r="J68" s="53">
        <f t="shared" si="10"/>
        <v>0</v>
      </c>
      <c r="K68" s="53">
        <f t="shared" si="11"/>
        <v>-109765000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750</v>
      </c>
      <c r="H69" s="36">
        <f t="shared" si="8"/>
        <v>1</v>
      </c>
      <c r="I69" s="11">
        <f t="shared" si="9"/>
        <v>734020000</v>
      </c>
      <c r="J69" s="53">
        <f t="shared" si="10"/>
        <v>0</v>
      </c>
      <c r="K69" s="53">
        <f t="shared" si="11"/>
        <v>734020000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747</v>
      </c>
      <c r="H70" s="36">
        <f t="shared" si="8"/>
        <v>0</v>
      </c>
      <c r="I70" s="11">
        <f t="shared" si="9"/>
        <v>-34362000</v>
      </c>
      <c r="J70" s="53">
        <f t="shared" si="10"/>
        <v>0</v>
      </c>
      <c r="K70" s="53">
        <f t="shared" si="11"/>
        <v>-34362000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745</v>
      </c>
      <c r="H71" s="36">
        <f t="shared" si="8"/>
        <v>1</v>
      </c>
      <c r="I71" s="11">
        <f t="shared" si="9"/>
        <v>85811472</v>
      </c>
      <c r="J71" s="53">
        <f t="shared" si="10"/>
        <v>77236128</v>
      </c>
      <c r="K71" s="53">
        <f t="shared" si="11"/>
        <v>8575344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744</v>
      </c>
      <c r="H72" s="36">
        <f t="shared" si="8"/>
        <v>0</v>
      </c>
      <c r="I72" s="11">
        <f t="shared" si="9"/>
        <v>-113064936</v>
      </c>
      <c r="J72" s="53">
        <f t="shared" si="10"/>
        <v>0</v>
      </c>
      <c r="K72" s="53">
        <f t="shared" si="11"/>
        <v>-113064936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743</v>
      </c>
      <c r="H73" s="36">
        <f t="shared" si="8"/>
        <v>0</v>
      </c>
      <c r="I73" s="11">
        <f t="shared" si="9"/>
        <v>-598486500</v>
      </c>
      <c r="J73" s="53">
        <f t="shared" si="10"/>
        <v>0</v>
      </c>
      <c r="K73" s="53">
        <f t="shared" si="11"/>
        <v>-598486500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736</v>
      </c>
      <c r="H74" s="36">
        <f t="shared" si="8"/>
        <v>1</v>
      </c>
      <c r="I74" s="11">
        <f t="shared" si="9"/>
        <v>5141325000</v>
      </c>
      <c r="J74" s="53">
        <f t="shared" si="10"/>
        <v>0</v>
      </c>
      <c r="K74" s="53">
        <f t="shared" si="11"/>
        <v>5141325000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735</v>
      </c>
      <c r="H75" s="36">
        <f t="shared" si="8"/>
        <v>1</v>
      </c>
      <c r="I75" s="11">
        <f t="shared" si="9"/>
        <v>2202000000</v>
      </c>
      <c r="J75" s="53">
        <f t="shared" si="10"/>
        <v>0</v>
      </c>
      <c r="K75" s="53">
        <f t="shared" si="11"/>
        <v>2202000000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733</v>
      </c>
      <c r="H76" s="36">
        <f t="shared" si="8"/>
        <v>1</v>
      </c>
      <c r="I76" s="11">
        <f t="shared" si="9"/>
        <v>2196000000</v>
      </c>
      <c r="J76" s="53">
        <f t="shared" si="10"/>
        <v>0</v>
      </c>
      <c r="K76" s="53">
        <f t="shared" si="11"/>
        <v>2196000000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732</v>
      </c>
      <c r="H77" s="36">
        <f t="shared" si="8"/>
        <v>1</v>
      </c>
      <c r="I77" s="11">
        <f t="shared" si="9"/>
        <v>2193000000</v>
      </c>
      <c r="J77" s="53">
        <f t="shared" si="10"/>
        <v>0</v>
      </c>
      <c r="K77" s="53">
        <f t="shared" si="11"/>
        <v>2193000000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731</v>
      </c>
      <c r="H78" s="36">
        <f t="shared" si="8"/>
        <v>0</v>
      </c>
      <c r="I78" s="11">
        <f t="shared" si="9"/>
        <v>-2339200000</v>
      </c>
      <c r="J78" s="53">
        <f t="shared" si="10"/>
        <v>-2339200000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730</v>
      </c>
      <c r="H79" s="36">
        <f t="shared" si="8"/>
        <v>0</v>
      </c>
      <c r="I79" s="11">
        <f t="shared" si="9"/>
        <v>-584000000</v>
      </c>
      <c r="J79" s="53">
        <f t="shared" si="10"/>
        <v>-584000000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729</v>
      </c>
      <c r="H80" s="36">
        <f t="shared" si="8"/>
        <v>0</v>
      </c>
      <c r="I80" s="11">
        <f t="shared" si="9"/>
        <v>-35278497</v>
      </c>
      <c r="J80" s="53">
        <f t="shared" si="10"/>
        <v>0</v>
      </c>
      <c r="K80" s="53">
        <f t="shared" si="11"/>
        <v>-35278497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728</v>
      </c>
      <c r="H81" s="36">
        <f t="shared" si="8"/>
        <v>0</v>
      </c>
      <c r="I81" s="11">
        <f t="shared" si="9"/>
        <v>-101920000</v>
      </c>
      <c r="J81" s="53">
        <f t="shared" si="10"/>
        <v>0</v>
      </c>
      <c r="K81" s="53">
        <f t="shared" si="11"/>
        <v>-101920000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727</v>
      </c>
      <c r="H82" s="36">
        <f t="shared" si="8"/>
        <v>0</v>
      </c>
      <c r="I82" s="11">
        <f t="shared" si="9"/>
        <v>-181750000</v>
      </c>
      <c r="J82" s="53">
        <f t="shared" si="10"/>
        <v>0</v>
      </c>
      <c r="K82" s="53">
        <f t="shared" si="11"/>
        <v>-181750000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726</v>
      </c>
      <c r="H83" s="36">
        <f t="shared" si="8"/>
        <v>0</v>
      </c>
      <c r="I83" s="11">
        <f t="shared" si="9"/>
        <v>-145200000</v>
      </c>
      <c r="J83" s="53">
        <f t="shared" si="10"/>
        <v>0</v>
      </c>
      <c r="K83" s="53">
        <f t="shared" si="11"/>
        <v>-145200000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723</v>
      </c>
      <c r="H84" s="36">
        <f t="shared" si="8"/>
        <v>1</v>
      </c>
      <c r="I84" s="11">
        <f t="shared" si="9"/>
        <v>1180614400</v>
      </c>
      <c r="J84" s="53">
        <f t="shared" si="10"/>
        <v>0</v>
      </c>
      <c r="K84" s="53">
        <f t="shared" si="11"/>
        <v>1180614400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719</v>
      </c>
      <c r="H85" s="36">
        <f t="shared" si="8"/>
        <v>1</v>
      </c>
      <c r="I85" s="11">
        <f t="shared" si="9"/>
        <v>1795000000</v>
      </c>
      <c r="J85" s="53">
        <f t="shared" si="10"/>
        <v>0</v>
      </c>
      <c r="K85" s="53">
        <f t="shared" si="11"/>
        <v>1795000000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715</v>
      </c>
      <c r="H86" s="36">
        <f t="shared" si="8"/>
        <v>1</v>
      </c>
      <c r="I86" s="11">
        <f t="shared" si="9"/>
        <v>133018200</v>
      </c>
      <c r="J86" s="53">
        <f t="shared" si="10"/>
        <v>60654300</v>
      </c>
      <c r="K86" s="53">
        <f t="shared" si="11"/>
        <v>72363900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712</v>
      </c>
      <c r="H87" s="36">
        <f t="shared" si="8"/>
        <v>0</v>
      </c>
      <c r="I87" s="11">
        <f t="shared" si="9"/>
        <v>-142400000</v>
      </c>
      <c r="J87" s="53">
        <f t="shared" si="10"/>
        <v>0</v>
      </c>
      <c r="K87" s="53">
        <f t="shared" si="11"/>
        <v>-142400000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711</v>
      </c>
      <c r="H88" s="36">
        <f t="shared" si="8"/>
        <v>0</v>
      </c>
      <c r="I88" s="11">
        <f t="shared" si="9"/>
        <v>-83898000</v>
      </c>
      <c r="J88" s="53">
        <f t="shared" si="10"/>
        <v>-49059000</v>
      </c>
      <c r="K88" s="53">
        <f t="shared" si="11"/>
        <v>-34839000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703</v>
      </c>
      <c r="H89" s="36">
        <f t="shared" si="8"/>
        <v>0</v>
      </c>
      <c r="I89" s="11">
        <f t="shared" si="9"/>
        <v>-2250232700</v>
      </c>
      <c r="J89" s="53">
        <f t="shared" si="10"/>
        <v>0</v>
      </c>
      <c r="K89" s="53">
        <f t="shared" si="11"/>
        <v>-2250232700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702</v>
      </c>
      <c r="H90" s="36">
        <f t="shared" si="8"/>
        <v>0</v>
      </c>
      <c r="I90" s="11">
        <f t="shared" si="9"/>
        <v>-2247031800</v>
      </c>
      <c r="J90" s="53">
        <f t="shared" si="10"/>
        <v>0</v>
      </c>
      <c r="K90" s="53">
        <f t="shared" si="11"/>
        <v>-2247031800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701</v>
      </c>
      <c r="H91" s="36">
        <f t="shared" si="8"/>
        <v>0</v>
      </c>
      <c r="I91" s="11">
        <f t="shared" si="9"/>
        <v>-2243830900</v>
      </c>
      <c r="J91" s="53">
        <f t="shared" si="10"/>
        <v>0</v>
      </c>
      <c r="K91" s="53">
        <f t="shared" si="11"/>
        <v>-2243830900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700</v>
      </c>
      <c r="H92" s="36">
        <f t="shared" si="8"/>
        <v>0</v>
      </c>
      <c r="I92" s="11">
        <f t="shared" si="9"/>
        <v>-2240630000</v>
      </c>
      <c r="J92" s="53">
        <f t="shared" si="10"/>
        <v>0</v>
      </c>
      <c r="K92" s="53">
        <f t="shared" si="11"/>
        <v>-2240630000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699</v>
      </c>
      <c r="H93" s="36">
        <f t="shared" si="8"/>
        <v>0</v>
      </c>
      <c r="I93" s="11">
        <f t="shared" si="9"/>
        <v>-2237429100</v>
      </c>
      <c r="J93" s="53">
        <f t="shared" si="10"/>
        <v>0</v>
      </c>
      <c r="K93" s="53">
        <f t="shared" si="11"/>
        <v>-2237429100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698</v>
      </c>
      <c r="H94" s="36">
        <f t="shared" si="8"/>
        <v>0</v>
      </c>
      <c r="I94" s="11">
        <f t="shared" si="9"/>
        <v>-2234228200</v>
      </c>
      <c r="J94" s="53">
        <f t="shared" si="10"/>
        <v>0</v>
      </c>
      <c r="K94" s="53">
        <f t="shared" si="11"/>
        <v>-2234228200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696</v>
      </c>
      <c r="H95" s="36">
        <f t="shared" si="8"/>
        <v>0</v>
      </c>
      <c r="I95" s="11">
        <f t="shared" si="9"/>
        <v>-832830816</v>
      </c>
      <c r="J95" s="53">
        <f t="shared" si="10"/>
        <v>0</v>
      </c>
      <c r="K95" s="53">
        <f t="shared" si="11"/>
        <v>-832830816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686</v>
      </c>
      <c r="H96" s="36">
        <f t="shared" si="8"/>
        <v>0</v>
      </c>
      <c r="I96" s="11">
        <f t="shared" si="9"/>
        <v>-137200000</v>
      </c>
      <c r="J96" s="53">
        <f t="shared" si="10"/>
        <v>0</v>
      </c>
      <c r="K96" s="53">
        <f t="shared" si="11"/>
        <v>-137200000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685</v>
      </c>
      <c r="H97" s="36">
        <f t="shared" si="8"/>
        <v>1</v>
      </c>
      <c r="I97" s="11">
        <f t="shared" si="9"/>
        <v>109137672</v>
      </c>
      <c r="J97" s="53">
        <f t="shared" si="10"/>
        <v>47145384</v>
      </c>
      <c r="K97" s="53">
        <f t="shared" si="11"/>
        <v>61992288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680</v>
      </c>
      <c r="H98" s="36">
        <f t="shared" si="8"/>
        <v>1</v>
      </c>
      <c r="I98" s="11">
        <f t="shared" si="9"/>
        <v>77655872</v>
      </c>
      <c r="J98" s="53">
        <f t="shared" si="10"/>
        <v>0</v>
      </c>
      <c r="K98" s="53">
        <f t="shared" si="11"/>
        <v>77655872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677</v>
      </c>
      <c r="H99" s="36">
        <f t="shared" si="8"/>
        <v>0</v>
      </c>
      <c r="I99" s="11">
        <f t="shared" si="9"/>
        <v>-897025000</v>
      </c>
      <c r="J99" s="53">
        <f t="shared" si="10"/>
        <v>0</v>
      </c>
      <c r="K99" s="53">
        <f t="shared" si="11"/>
        <v>-897025000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672</v>
      </c>
      <c r="H100" s="36">
        <f t="shared" si="8"/>
        <v>1</v>
      </c>
      <c r="I100" s="11">
        <f t="shared" si="9"/>
        <v>889075000</v>
      </c>
      <c r="J100" s="53">
        <f t="shared" si="10"/>
        <v>0</v>
      </c>
      <c r="K100" s="53">
        <f t="shared" si="11"/>
        <v>889075000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655</v>
      </c>
      <c r="H101" s="36">
        <f t="shared" si="8"/>
        <v>1</v>
      </c>
      <c r="I101" s="11">
        <f t="shared" si="9"/>
        <v>43716630</v>
      </c>
      <c r="J101" s="53">
        <f t="shared" si="10"/>
        <v>43716630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652</v>
      </c>
      <c r="H102" s="36">
        <f t="shared" si="8"/>
        <v>1</v>
      </c>
      <c r="I102" s="11">
        <f t="shared" si="9"/>
        <v>1953000000</v>
      </c>
      <c r="J102" s="53">
        <f t="shared" si="10"/>
        <v>0</v>
      </c>
      <c r="K102" s="53">
        <f t="shared" si="11"/>
        <v>1953000000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645</v>
      </c>
      <c r="H103" s="36">
        <f t="shared" si="8"/>
        <v>0</v>
      </c>
      <c r="I103" s="11">
        <f t="shared" si="9"/>
        <v>-645000000</v>
      </c>
      <c r="J103" s="53">
        <f t="shared" si="10"/>
        <v>-645000000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635</v>
      </c>
      <c r="H104" s="36">
        <f t="shared" si="8"/>
        <v>1</v>
      </c>
      <c r="I104" s="11">
        <f t="shared" si="9"/>
        <v>1902000000</v>
      </c>
      <c r="J104" s="53">
        <f t="shared" si="10"/>
        <v>1902000000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634</v>
      </c>
      <c r="H105" s="36">
        <f t="shared" si="8"/>
        <v>1</v>
      </c>
      <c r="I105" s="11">
        <f t="shared" si="9"/>
        <v>708960000</v>
      </c>
      <c r="J105" s="53">
        <f t="shared" si="10"/>
        <v>708960000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634</v>
      </c>
      <c r="H106" s="36">
        <f t="shared" si="8"/>
        <v>0</v>
      </c>
      <c r="I106" s="11">
        <f t="shared" si="9"/>
        <v>-1902000000</v>
      </c>
      <c r="J106" s="53">
        <f t="shared" si="10"/>
        <v>0</v>
      </c>
      <c r="K106" s="53">
        <f t="shared" si="11"/>
        <v>-1902000000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625</v>
      </c>
      <c r="H107" s="36">
        <f t="shared" si="8"/>
        <v>1</v>
      </c>
      <c r="I107" s="11">
        <f t="shared" si="9"/>
        <v>56468256</v>
      </c>
      <c r="J107" s="53">
        <f t="shared" si="10"/>
        <v>46871760</v>
      </c>
      <c r="K107" s="53">
        <f t="shared" si="11"/>
        <v>9596496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623</v>
      </c>
      <c r="H108" s="36">
        <f t="shared" si="8"/>
        <v>0</v>
      </c>
      <c r="I108" s="11">
        <f t="shared" si="9"/>
        <v>-1059536100</v>
      </c>
      <c r="J108" s="53">
        <f t="shared" si="10"/>
        <v>0</v>
      </c>
      <c r="K108" s="53">
        <f t="shared" si="11"/>
        <v>-1059536100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619</v>
      </c>
      <c r="H109" s="36">
        <f t="shared" si="8"/>
        <v>0</v>
      </c>
      <c r="I109" s="11">
        <f t="shared" si="9"/>
        <v>-619309500</v>
      </c>
      <c r="J109" s="53">
        <f t="shared" si="10"/>
        <v>0</v>
      </c>
      <c r="K109" s="53">
        <f t="shared" si="11"/>
        <v>-619309500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616</v>
      </c>
      <c r="H110" s="36">
        <f t="shared" si="8"/>
        <v>1</v>
      </c>
      <c r="I110" s="11">
        <f t="shared" si="9"/>
        <v>12300000000</v>
      </c>
      <c r="J110" s="53">
        <f t="shared" si="10"/>
        <v>0</v>
      </c>
      <c r="K110" s="53">
        <f t="shared" si="11"/>
        <v>12300000000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596</v>
      </c>
      <c r="H111" s="36">
        <f t="shared" si="8"/>
        <v>1</v>
      </c>
      <c r="I111" s="11">
        <f t="shared" si="9"/>
        <v>103933410</v>
      </c>
      <c r="J111" s="53">
        <f t="shared" si="10"/>
        <v>51980985</v>
      </c>
      <c r="K111" s="53">
        <f t="shared" si="11"/>
        <v>51952425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580</v>
      </c>
      <c r="H112" s="36">
        <f t="shared" si="8"/>
        <v>0</v>
      </c>
      <c r="I112" s="11">
        <f t="shared" si="9"/>
        <v>-16472000000</v>
      </c>
      <c r="J112" s="53">
        <f t="shared" si="10"/>
        <v>0</v>
      </c>
      <c r="K112" s="53">
        <f t="shared" si="11"/>
        <v>-16472000000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565</v>
      </c>
      <c r="H113" s="36">
        <f t="shared" si="8"/>
        <v>1</v>
      </c>
      <c r="I113" s="11">
        <f t="shared" si="9"/>
        <v>91954560</v>
      </c>
      <c r="J113" s="53">
        <f t="shared" si="10"/>
        <v>69096204</v>
      </c>
      <c r="K113" s="53">
        <f t="shared" si="11"/>
        <v>22858356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565</v>
      </c>
      <c r="H114" s="36">
        <f t="shared" si="8"/>
        <v>0</v>
      </c>
      <c r="I114" s="11">
        <f t="shared" si="9"/>
        <v>-3220500</v>
      </c>
      <c r="J114" s="53">
        <f t="shared" si="10"/>
        <v>-1412500</v>
      </c>
      <c r="K114" s="53">
        <f t="shared" si="11"/>
        <v>-1808000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552</v>
      </c>
      <c r="H115" s="36">
        <f t="shared" si="8"/>
        <v>0</v>
      </c>
      <c r="I115" s="11">
        <f t="shared" si="9"/>
        <v>0</v>
      </c>
      <c r="J115" s="53">
        <f t="shared" si="10"/>
        <v>276000000</v>
      </c>
      <c r="K115" s="53">
        <f t="shared" si="11"/>
        <v>-276000000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544</v>
      </c>
      <c r="H116" s="36">
        <f t="shared" si="8"/>
        <v>0</v>
      </c>
      <c r="I116" s="11">
        <f t="shared" si="9"/>
        <v>-87040000</v>
      </c>
      <c r="J116" s="53">
        <f t="shared" si="10"/>
        <v>0</v>
      </c>
      <c r="K116" s="53">
        <f t="shared" si="11"/>
        <v>-87040000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535</v>
      </c>
      <c r="H117" s="36">
        <f t="shared" si="8"/>
        <v>1</v>
      </c>
      <c r="I117" s="11">
        <f t="shared" si="9"/>
        <v>790320</v>
      </c>
      <c r="J117" s="53">
        <f t="shared" si="10"/>
        <v>57106494</v>
      </c>
      <c r="K117" s="53">
        <f t="shared" si="11"/>
        <v>-56316174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513</v>
      </c>
      <c r="H118" s="36">
        <f t="shared" si="8"/>
        <v>1</v>
      </c>
      <c r="I118" s="11">
        <f t="shared" si="9"/>
        <v>20172544000</v>
      </c>
      <c r="J118" s="53">
        <f t="shared" si="10"/>
        <v>0</v>
      </c>
      <c r="K118" s="53">
        <f t="shared" si="11"/>
        <v>20172544000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504</v>
      </c>
      <c r="H119" s="36">
        <f t="shared" si="8"/>
        <v>1</v>
      </c>
      <c r="I119" s="11">
        <f t="shared" si="9"/>
        <v>48047063</v>
      </c>
      <c r="J119" s="53">
        <f t="shared" si="10"/>
        <v>55357162</v>
      </c>
      <c r="K119" s="53">
        <f t="shared" si="11"/>
        <v>-7310099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500</v>
      </c>
      <c r="H120" s="11">
        <f t="shared" si="8"/>
        <v>1</v>
      </c>
      <c r="I120" s="11">
        <f t="shared" ref="I120:I266" si="13">B120*(G120-H120)</f>
        <v>998000000</v>
      </c>
      <c r="J120" s="11">
        <f t="shared" si="10"/>
        <v>0</v>
      </c>
      <c r="K120" s="11">
        <f t="shared" si="11"/>
        <v>998000000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474</v>
      </c>
      <c r="H121" s="11">
        <f t="shared" si="8"/>
        <v>1</v>
      </c>
      <c r="I121" s="11">
        <f t="shared" si="13"/>
        <v>1229800000</v>
      </c>
      <c r="J121" s="11">
        <f t="shared" si="10"/>
        <v>0</v>
      </c>
      <c r="K121" s="11">
        <f t="shared" si="11"/>
        <v>1229800000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473</v>
      </c>
      <c r="H122" s="11">
        <f t="shared" si="8"/>
        <v>1</v>
      </c>
      <c r="I122" s="11">
        <f t="shared" si="13"/>
        <v>181508072</v>
      </c>
      <c r="J122" s="11">
        <f t="shared" si="10"/>
        <v>52348576</v>
      </c>
      <c r="K122" s="11">
        <f t="shared" si="11"/>
        <v>129159496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472</v>
      </c>
      <c r="H123" s="11">
        <f t="shared" si="8"/>
        <v>0</v>
      </c>
      <c r="I123" s="11">
        <f t="shared" si="13"/>
        <v>0</v>
      </c>
      <c r="J123" s="11">
        <f t="shared" si="10"/>
        <v>377600000</v>
      </c>
      <c r="K123" s="11">
        <f t="shared" si="11"/>
        <v>-377600000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458</v>
      </c>
      <c r="H124" s="11">
        <f t="shared" si="8"/>
        <v>0</v>
      </c>
      <c r="I124" s="11">
        <f t="shared" si="13"/>
        <v>-1374000000</v>
      </c>
      <c r="J124" s="11">
        <f t="shared" si="10"/>
        <v>0</v>
      </c>
      <c r="K124" s="11">
        <f t="shared" si="11"/>
        <v>-1374000000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443</v>
      </c>
      <c r="H125" s="11">
        <f t="shared" si="8"/>
        <v>1</v>
      </c>
      <c r="I125" s="11">
        <f t="shared" si="13"/>
        <v>177113820</v>
      </c>
      <c r="J125" s="11">
        <f t="shared" si="10"/>
        <v>52542750</v>
      </c>
      <c r="K125" s="11">
        <f t="shared" si="11"/>
        <v>124571070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443</v>
      </c>
      <c r="H126" s="11">
        <f t="shared" si="8"/>
        <v>1</v>
      </c>
      <c r="I126" s="11">
        <f t="shared" si="13"/>
        <v>18564000000</v>
      </c>
      <c r="J126" s="11">
        <f t="shared" si="10"/>
        <v>0</v>
      </c>
      <c r="K126" s="11">
        <f t="shared" si="11"/>
        <v>18564000000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418</v>
      </c>
      <c r="H127" s="11">
        <f t="shared" si="8"/>
        <v>0</v>
      </c>
      <c r="I127" s="11">
        <f t="shared" si="13"/>
        <v>-2090000</v>
      </c>
      <c r="J127" s="11">
        <f t="shared" si="10"/>
        <v>0</v>
      </c>
      <c r="K127" s="11">
        <f t="shared" si="11"/>
        <v>-2090000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412</v>
      </c>
      <c r="H128" s="11">
        <f t="shared" si="8"/>
        <v>1</v>
      </c>
      <c r="I128" s="11">
        <f t="shared" si="13"/>
        <v>317034714</v>
      </c>
      <c r="J128" s="11">
        <f t="shared" si="10"/>
        <v>49606467</v>
      </c>
      <c r="K128" s="11">
        <f t="shared" si="11"/>
        <v>267428247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409</v>
      </c>
      <c r="H129" s="11">
        <f t="shared" si="8"/>
        <v>1</v>
      </c>
      <c r="I129" s="11">
        <f t="shared" si="13"/>
        <v>1020000000</v>
      </c>
      <c r="J129" s="11">
        <f t="shared" si="10"/>
        <v>0</v>
      </c>
      <c r="K129" s="11">
        <f t="shared" si="11"/>
        <v>1020000000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395</v>
      </c>
      <c r="H130" s="11">
        <f t="shared" si="8"/>
        <v>0</v>
      </c>
      <c r="I130" s="11">
        <f t="shared" si="13"/>
        <v>-395000000</v>
      </c>
      <c r="J130" s="11">
        <f t="shared" si="10"/>
        <v>-395000000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390</v>
      </c>
      <c r="H131" s="11">
        <f t="shared" si="8"/>
        <v>0</v>
      </c>
      <c r="I131" s="11">
        <f t="shared" si="13"/>
        <v>-19500000000</v>
      </c>
      <c r="J131" s="11">
        <f t="shared" si="10"/>
        <v>0</v>
      </c>
      <c r="K131" s="11">
        <f t="shared" si="11"/>
        <v>-19500000000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382</v>
      </c>
      <c r="H132" s="11">
        <f t="shared" ref="H132:H266" si="15">IF(B132&gt;0,1,0)</f>
        <v>1</v>
      </c>
      <c r="I132" s="11">
        <f t="shared" si="13"/>
        <v>234043347</v>
      </c>
      <c r="J132" s="11">
        <f t="shared" ref="J132:J206" si="16">C132*(G132-H132)</f>
        <v>40374951</v>
      </c>
      <c r="K132" s="11">
        <f t="shared" ref="K132:K266" si="17">D132*(G132-H132)</f>
        <v>193668396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378</v>
      </c>
      <c r="H133" s="11">
        <f t="shared" si="15"/>
        <v>0</v>
      </c>
      <c r="I133" s="11">
        <f t="shared" si="13"/>
        <v>-457644600</v>
      </c>
      <c r="J133" s="11">
        <f t="shared" si="16"/>
        <v>0</v>
      </c>
      <c r="K133" s="11">
        <f t="shared" si="17"/>
        <v>-457644600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369</v>
      </c>
      <c r="H134" s="11">
        <f t="shared" si="15"/>
        <v>0</v>
      </c>
      <c r="I134" s="11">
        <f t="shared" si="13"/>
        <v>-23985000</v>
      </c>
      <c r="J134" s="11">
        <f t="shared" si="16"/>
        <v>0</v>
      </c>
      <c r="K134" s="11">
        <f t="shared" si="17"/>
        <v>-23985000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369</v>
      </c>
      <c r="H135" s="11">
        <f t="shared" si="15"/>
        <v>0</v>
      </c>
      <c r="I135" s="11">
        <f t="shared" si="13"/>
        <v>-11918700</v>
      </c>
      <c r="J135" s="11">
        <f t="shared" si="16"/>
        <v>0</v>
      </c>
      <c r="K135" s="11">
        <f t="shared" si="17"/>
        <v>-11918700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361</v>
      </c>
      <c r="H136" s="11">
        <f t="shared" si="15"/>
        <v>0</v>
      </c>
      <c r="I136" s="11">
        <f t="shared" si="13"/>
        <v>-361000000</v>
      </c>
      <c r="J136" s="11">
        <f t="shared" si="16"/>
        <v>-361000000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352</v>
      </c>
      <c r="H137" s="11">
        <f t="shared" si="15"/>
        <v>1</v>
      </c>
      <c r="I137" s="11">
        <f t="shared" si="13"/>
        <v>102096423</v>
      </c>
      <c r="J137" s="11">
        <f t="shared" si="16"/>
        <v>34173009</v>
      </c>
      <c r="K137" s="11">
        <f t="shared" si="17"/>
        <v>67923414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335</v>
      </c>
      <c r="H138" s="11">
        <f t="shared" si="15"/>
        <v>0</v>
      </c>
      <c r="I138" s="11">
        <f t="shared" si="13"/>
        <v>-335167500</v>
      </c>
      <c r="J138" s="11">
        <f t="shared" si="16"/>
        <v>-335167500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323</v>
      </c>
      <c r="H139" s="11">
        <f t="shared" si="15"/>
        <v>1</v>
      </c>
      <c r="I139" s="11">
        <f t="shared" si="13"/>
        <v>90881280</v>
      </c>
      <c r="J139" s="11">
        <f t="shared" si="16"/>
        <v>28595854</v>
      </c>
      <c r="K139" s="11">
        <f t="shared" si="17"/>
        <v>62285426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320</v>
      </c>
      <c r="H140" s="11">
        <f t="shared" si="15"/>
        <v>1</v>
      </c>
      <c r="I140" s="11">
        <f t="shared" si="13"/>
        <v>478500000</v>
      </c>
      <c r="J140" s="11">
        <f t="shared" si="16"/>
        <v>0</v>
      </c>
      <c r="K140" s="11">
        <f t="shared" si="17"/>
        <v>478500000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307</v>
      </c>
      <c r="H141" s="11">
        <f t="shared" si="15"/>
        <v>0</v>
      </c>
      <c r="I141" s="11">
        <f t="shared" si="13"/>
        <v>0</v>
      </c>
      <c r="J141" s="11">
        <f t="shared" si="16"/>
        <v>-307000000</v>
      </c>
      <c r="K141" s="11">
        <f t="shared" si="17"/>
        <v>307000000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293</v>
      </c>
      <c r="H142" s="11">
        <f t="shared" si="15"/>
        <v>1</v>
      </c>
      <c r="I142" s="11">
        <f t="shared" si="13"/>
        <v>84940756</v>
      </c>
      <c r="J142" s="11">
        <f t="shared" si="16"/>
        <v>23658424</v>
      </c>
      <c r="K142" s="11">
        <f t="shared" si="17"/>
        <v>61282332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273</v>
      </c>
      <c r="H143" s="11">
        <f t="shared" si="15"/>
        <v>0</v>
      </c>
      <c r="I143" s="11">
        <f t="shared" si="13"/>
        <v>0</v>
      </c>
      <c r="J143" s="11">
        <f t="shared" si="16"/>
        <v>-273000000</v>
      </c>
      <c r="K143" s="11">
        <f t="shared" si="17"/>
        <v>273000000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263</v>
      </c>
      <c r="H144" s="11">
        <f t="shared" si="15"/>
        <v>1</v>
      </c>
      <c r="I144" s="11">
        <f t="shared" si="13"/>
        <v>77251224</v>
      </c>
      <c r="J144" s="11">
        <f t="shared" si="16"/>
        <v>19560134</v>
      </c>
      <c r="K144" s="11">
        <f t="shared" si="17"/>
        <v>57691090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248</v>
      </c>
      <c r="H145" s="11">
        <f t="shared" si="15"/>
        <v>0</v>
      </c>
      <c r="I145" s="11">
        <f t="shared" si="13"/>
        <v>-2480000</v>
      </c>
      <c r="J145" s="11">
        <f t="shared" si="16"/>
        <v>-1240000</v>
      </c>
      <c r="K145" s="11">
        <f t="shared" si="17"/>
        <v>-1240000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243</v>
      </c>
      <c r="H146" s="11">
        <f t="shared" si="15"/>
        <v>0</v>
      </c>
      <c r="I146" s="11">
        <f t="shared" si="13"/>
        <v>-243121500</v>
      </c>
      <c r="J146" s="11">
        <f t="shared" si="16"/>
        <v>-243121500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237</v>
      </c>
      <c r="H147" s="11">
        <f t="shared" si="15"/>
        <v>0</v>
      </c>
      <c r="I147" s="11">
        <f t="shared" si="13"/>
        <v>-6399000000</v>
      </c>
      <c r="J147" s="11">
        <f t="shared" si="16"/>
        <v>0</v>
      </c>
      <c r="K147" s="11">
        <f t="shared" si="17"/>
        <v>-6399000000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234</v>
      </c>
      <c r="H148" s="11">
        <f t="shared" si="15"/>
        <v>1</v>
      </c>
      <c r="I148" s="11">
        <f t="shared" si="13"/>
        <v>58817588</v>
      </c>
      <c r="J148" s="11">
        <f t="shared" si="16"/>
        <v>15263830</v>
      </c>
      <c r="K148" s="11">
        <f t="shared" si="17"/>
        <v>43553758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226</v>
      </c>
      <c r="H149" s="11">
        <f t="shared" si="15"/>
        <v>1</v>
      </c>
      <c r="I149" s="11">
        <f t="shared" si="13"/>
        <v>11790000000</v>
      </c>
      <c r="J149" s="11">
        <f t="shared" si="16"/>
        <v>0</v>
      </c>
      <c r="K149" s="11">
        <f t="shared" si="17"/>
        <v>11790000000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219</v>
      </c>
      <c r="H150" s="11">
        <f t="shared" si="15"/>
        <v>0</v>
      </c>
      <c r="I150" s="11">
        <f t="shared" si="13"/>
        <v>-11388000000</v>
      </c>
      <c r="J150" s="11">
        <f t="shared" si="16"/>
        <v>0</v>
      </c>
      <c r="K150" s="11">
        <f t="shared" si="17"/>
        <v>-11388000000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214</v>
      </c>
      <c r="H151" s="99">
        <f t="shared" si="15"/>
        <v>0</v>
      </c>
      <c r="I151" s="99">
        <f t="shared" si="13"/>
        <v>-1712000000</v>
      </c>
      <c r="J151" s="99">
        <f t="shared" si="16"/>
        <v>-1449236034</v>
      </c>
      <c r="K151" s="11">
        <f t="shared" si="17"/>
        <v>-262763966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214</v>
      </c>
      <c r="H152" s="99">
        <f t="shared" si="15"/>
        <v>0</v>
      </c>
      <c r="I152" s="99">
        <f t="shared" si="13"/>
        <v>-6683220</v>
      </c>
      <c r="J152" s="99">
        <f t="shared" si="16"/>
        <v>0</v>
      </c>
      <c r="K152" s="99">
        <f t="shared" si="17"/>
        <v>-6683220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203</v>
      </c>
      <c r="H153" s="99">
        <f t="shared" si="15"/>
        <v>1</v>
      </c>
      <c r="I153" s="99">
        <f t="shared" si="13"/>
        <v>27287574</v>
      </c>
      <c r="J153" s="99">
        <f t="shared" si="16"/>
        <v>8308260</v>
      </c>
      <c r="K153" s="99">
        <f t="shared" si="17"/>
        <v>18979314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200</v>
      </c>
      <c r="H154" s="99">
        <f t="shared" si="15"/>
        <v>1</v>
      </c>
      <c r="I154" s="99">
        <f t="shared" si="13"/>
        <v>1357992318</v>
      </c>
      <c r="J154" s="99">
        <f t="shared" si="16"/>
        <v>1357992318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195</v>
      </c>
      <c r="H155" s="99">
        <f t="shared" si="15"/>
        <v>0</v>
      </c>
      <c r="I155" s="99">
        <f t="shared" si="13"/>
        <v>-39000000</v>
      </c>
      <c r="J155" s="99">
        <f t="shared" si="16"/>
        <v>0</v>
      </c>
      <c r="K155" s="99">
        <f t="shared" si="17"/>
        <v>-39000000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195</v>
      </c>
      <c r="H156" s="99">
        <f t="shared" si="15"/>
        <v>0</v>
      </c>
      <c r="I156" s="99">
        <f t="shared" si="13"/>
        <v>-48328800</v>
      </c>
      <c r="J156" s="99">
        <f t="shared" si="16"/>
        <v>0</v>
      </c>
      <c r="K156" s="99">
        <f t="shared" si="17"/>
        <v>-48328800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194</v>
      </c>
      <c r="H157" s="99">
        <f t="shared" si="15"/>
        <v>0</v>
      </c>
      <c r="I157" s="99">
        <f t="shared" si="13"/>
        <v>-31493960</v>
      </c>
      <c r="J157" s="99">
        <f t="shared" si="16"/>
        <v>0</v>
      </c>
      <c r="K157" s="99">
        <f t="shared" si="17"/>
        <v>-31493960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194</v>
      </c>
      <c r="H158" s="99">
        <f t="shared" si="15"/>
        <v>0</v>
      </c>
      <c r="I158" s="99">
        <f t="shared" si="13"/>
        <v>-582174600</v>
      </c>
      <c r="J158" s="99">
        <f t="shared" si="16"/>
        <v>0</v>
      </c>
      <c r="K158" s="99">
        <f t="shared" si="17"/>
        <v>-582174600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192</v>
      </c>
      <c r="H159" s="99">
        <f t="shared" si="15"/>
        <v>0</v>
      </c>
      <c r="I159" s="99">
        <f t="shared" si="13"/>
        <v>-192096000</v>
      </c>
      <c r="J159" s="99">
        <f t="shared" si="16"/>
        <v>0</v>
      </c>
      <c r="K159" s="99">
        <f t="shared" si="17"/>
        <v>-192096000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188</v>
      </c>
      <c r="H160" s="99">
        <f t="shared" si="15"/>
        <v>0</v>
      </c>
      <c r="I160" s="99">
        <f t="shared" si="13"/>
        <v>-18800000</v>
      </c>
      <c r="J160" s="99">
        <f t="shared" si="16"/>
        <v>0</v>
      </c>
      <c r="K160" s="99">
        <f t="shared" si="17"/>
        <v>-18800000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187</v>
      </c>
      <c r="H161" s="99">
        <f t="shared" si="15"/>
        <v>0</v>
      </c>
      <c r="I161" s="99">
        <f t="shared" si="13"/>
        <v>-374000000</v>
      </c>
      <c r="J161" s="99">
        <f t="shared" si="16"/>
        <v>0</v>
      </c>
      <c r="K161" s="99">
        <f t="shared" si="17"/>
        <v>-374000000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187</v>
      </c>
      <c r="H162" s="99">
        <f t="shared" si="15"/>
        <v>0</v>
      </c>
      <c r="I162" s="99">
        <f t="shared" si="13"/>
        <v>-187093500</v>
      </c>
      <c r="J162" s="99">
        <f t="shared" si="16"/>
        <v>0</v>
      </c>
      <c r="K162" s="99">
        <f t="shared" si="17"/>
        <v>-187093500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184</v>
      </c>
      <c r="H163" s="99">
        <f t="shared" si="15"/>
        <v>0</v>
      </c>
      <c r="I163" s="99">
        <f t="shared" si="13"/>
        <v>-920000</v>
      </c>
      <c r="J163" s="99">
        <f t="shared" si="16"/>
        <v>0</v>
      </c>
      <c r="K163" s="99">
        <f t="shared" si="17"/>
        <v>-920000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174</v>
      </c>
      <c r="H164" s="99">
        <f t="shared" si="15"/>
        <v>1</v>
      </c>
      <c r="I164" s="99">
        <f t="shared" si="13"/>
        <v>519000000</v>
      </c>
      <c r="J164" s="99">
        <f t="shared" si="16"/>
        <v>0</v>
      </c>
      <c r="K164" s="99">
        <f t="shared" si="17"/>
        <v>519000000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173</v>
      </c>
      <c r="H165" s="99">
        <f t="shared" si="15"/>
        <v>1</v>
      </c>
      <c r="I165" s="99">
        <f t="shared" si="13"/>
        <v>516000000</v>
      </c>
      <c r="J165" s="99">
        <f t="shared" si="16"/>
        <v>0</v>
      </c>
      <c r="K165" s="99">
        <f t="shared" si="17"/>
        <v>516000000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172</v>
      </c>
      <c r="H166" s="99">
        <f t="shared" si="15"/>
        <v>1</v>
      </c>
      <c r="I166" s="99">
        <f t="shared" si="13"/>
        <v>3473694</v>
      </c>
      <c r="J166" s="99">
        <f t="shared" si="16"/>
        <v>10232982</v>
      </c>
      <c r="K166" s="99">
        <f t="shared" si="17"/>
        <v>-6759288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167</v>
      </c>
      <c r="H167" s="99">
        <f t="shared" si="15"/>
        <v>0</v>
      </c>
      <c r="I167" s="99">
        <f t="shared" si="13"/>
        <v>-501150300</v>
      </c>
      <c r="J167" s="99">
        <f t="shared" si="16"/>
        <v>0</v>
      </c>
      <c r="K167" s="99">
        <f t="shared" si="17"/>
        <v>-501150300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149</v>
      </c>
      <c r="H168" s="99">
        <f t="shared" si="15"/>
        <v>0</v>
      </c>
      <c r="I168" s="99">
        <f t="shared" si="13"/>
        <v>-447134100</v>
      </c>
      <c r="J168" s="99">
        <f t="shared" si="16"/>
        <v>0</v>
      </c>
      <c r="K168" s="99">
        <f t="shared" si="17"/>
        <v>-447134100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141</v>
      </c>
      <c r="H169" s="99">
        <f t="shared" si="15"/>
        <v>1</v>
      </c>
      <c r="I169" s="99">
        <f t="shared" si="13"/>
        <v>3038700</v>
      </c>
      <c r="J169" s="99">
        <f t="shared" si="16"/>
        <v>9592100</v>
      </c>
      <c r="K169" s="99">
        <f t="shared" si="17"/>
        <v>-6553400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117</v>
      </c>
      <c r="H170" s="99">
        <f t="shared" si="15"/>
        <v>1</v>
      </c>
      <c r="I170" s="99">
        <f t="shared" si="13"/>
        <v>580000000</v>
      </c>
      <c r="J170" s="99">
        <f t="shared" si="16"/>
        <v>0</v>
      </c>
      <c r="K170" s="99">
        <f t="shared" si="17"/>
        <v>580000000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116</v>
      </c>
      <c r="H171" s="99">
        <f t="shared" si="15"/>
        <v>0</v>
      </c>
      <c r="I171" s="99">
        <f t="shared" si="13"/>
        <v>-580000000</v>
      </c>
      <c r="J171" s="99">
        <f t="shared" si="16"/>
        <v>0</v>
      </c>
      <c r="K171" s="99">
        <f t="shared" si="17"/>
        <v>-580000000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110</v>
      </c>
      <c r="H172" s="99">
        <f t="shared" si="15"/>
        <v>1</v>
      </c>
      <c r="I172" s="99">
        <f t="shared" si="13"/>
        <v>54064</v>
      </c>
      <c r="J172" s="99">
        <f t="shared" si="16"/>
        <v>6832229</v>
      </c>
      <c r="K172" s="99">
        <f t="shared" si="17"/>
        <v>-6778165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109</v>
      </c>
      <c r="H173" s="99">
        <f t="shared" si="15"/>
        <v>1</v>
      </c>
      <c r="I173" s="99">
        <f t="shared" si="13"/>
        <v>84780000</v>
      </c>
      <c r="J173" s="99">
        <f t="shared" si="16"/>
        <v>0</v>
      </c>
      <c r="K173" s="99">
        <f t="shared" si="17"/>
        <v>84780000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98</v>
      </c>
      <c r="H174" s="99">
        <f t="shared" si="15"/>
        <v>0</v>
      </c>
      <c r="I174" s="99">
        <f t="shared" si="13"/>
        <v>-3136000</v>
      </c>
      <c r="J174" s="99">
        <f t="shared" si="16"/>
        <v>0</v>
      </c>
      <c r="K174" s="99">
        <f t="shared" si="17"/>
        <v>-3136000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96</v>
      </c>
      <c r="H175" s="99">
        <f t="shared" si="15"/>
        <v>0</v>
      </c>
      <c r="I175" s="99">
        <f t="shared" si="13"/>
        <v>-72000000</v>
      </c>
      <c r="J175" s="99">
        <f t="shared" si="16"/>
        <v>0</v>
      </c>
      <c r="K175" s="99">
        <f t="shared" si="17"/>
        <v>-72000000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87</v>
      </c>
      <c r="H176" s="99">
        <f t="shared" si="15"/>
        <v>0</v>
      </c>
      <c r="I176" s="99">
        <f t="shared" si="13"/>
        <v>-817452</v>
      </c>
      <c r="J176" s="99">
        <f t="shared" si="16"/>
        <v>0</v>
      </c>
      <c r="K176" s="99">
        <f t="shared" si="17"/>
        <v>-817452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86</v>
      </c>
      <c r="H177" s="99">
        <f t="shared" si="15"/>
        <v>0</v>
      </c>
      <c r="I177" s="99">
        <f t="shared" si="13"/>
        <v>-3723800</v>
      </c>
      <c r="J177" s="99">
        <f t="shared" si="16"/>
        <v>0</v>
      </c>
      <c r="K177" s="99">
        <f t="shared" si="17"/>
        <v>-3723800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83</v>
      </c>
      <c r="H178" s="99">
        <f t="shared" si="15"/>
        <v>1</v>
      </c>
      <c r="I178" s="99">
        <f t="shared" si="13"/>
        <v>29520000</v>
      </c>
      <c r="J178" s="99">
        <f t="shared" si="16"/>
        <v>0</v>
      </c>
      <c r="K178" s="99">
        <f t="shared" si="17"/>
        <v>29520000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81</v>
      </c>
      <c r="H179" s="99">
        <f t="shared" si="15"/>
        <v>1</v>
      </c>
      <c r="I179" s="99">
        <f t="shared" si="13"/>
        <v>240000000</v>
      </c>
      <c r="J179" s="99">
        <f t="shared" si="16"/>
        <v>0</v>
      </c>
      <c r="K179" s="99">
        <f t="shared" si="17"/>
        <v>240000000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81</v>
      </c>
      <c r="H180" s="99">
        <f t="shared" si="15"/>
        <v>0</v>
      </c>
      <c r="I180" s="99">
        <f t="shared" si="13"/>
        <v>-976050</v>
      </c>
      <c r="J180" s="99">
        <f t="shared" si="16"/>
        <v>0</v>
      </c>
      <c r="K180" s="99">
        <f t="shared" si="17"/>
        <v>-976050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79</v>
      </c>
      <c r="H181" s="99">
        <f t="shared" si="15"/>
        <v>1</v>
      </c>
      <c r="I181" s="99">
        <f t="shared" si="13"/>
        <v>234000000</v>
      </c>
      <c r="J181" s="99">
        <f t="shared" si="16"/>
        <v>0</v>
      </c>
      <c r="K181" s="99">
        <f t="shared" si="17"/>
        <v>234000000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77</v>
      </c>
      <c r="H182" s="99">
        <f t="shared" si="15"/>
        <v>0</v>
      </c>
      <c r="I182" s="99">
        <f t="shared" si="13"/>
        <v>-2756600</v>
      </c>
      <c r="J182" s="99">
        <f t="shared" si="16"/>
        <v>0</v>
      </c>
      <c r="K182" s="99">
        <f t="shared" si="17"/>
        <v>-2756600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76</v>
      </c>
      <c r="H183" s="99">
        <f t="shared" si="15"/>
        <v>1</v>
      </c>
      <c r="I183" s="99">
        <f t="shared" si="13"/>
        <v>270000000</v>
      </c>
      <c r="J183" s="99">
        <f t="shared" si="16"/>
        <v>0</v>
      </c>
      <c r="K183" s="99">
        <f t="shared" si="17"/>
        <v>270000000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76</v>
      </c>
      <c r="H184" s="99">
        <f t="shared" si="15"/>
        <v>0</v>
      </c>
      <c r="I184" s="99">
        <f t="shared" si="13"/>
        <v>-2536652</v>
      </c>
      <c r="J184" s="99">
        <f t="shared" si="16"/>
        <v>0</v>
      </c>
      <c r="K184" s="99">
        <f t="shared" si="17"/>
        <v>-2536652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73</v>
      </c>
      <c r="H185" s="99">
        <f t="shared" si="15"/>
        <v>0</v>
      </c>
      <c r="I185" s="99">
        <f t="shared" si="13"/>
        <v>-715400000</v>
      </c>
      <c r="J185" s="99">
        <f t="shared" si="16"/>
        <v>0</v>
      </c>
      <c r="K185" s="99">
        <f t="shared" si="17"/>
        <v>-715400000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73</v>
      </c>
      <c r="H186" s="99">
        <f t="shared" si="15"/>
        <v>1</v>
      </c>
      <c r="I186" s="99">
        <f t="shared" si="13"/>
        <v>1296000000</v>
      </c>
      <c r="J186" s="99">
        <f t="shared" si="16"/>
        <v>0</v>
      </c>
      <c r="K186" s="99">
        <f t="shared" si="17"/>
        <v>1296000000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73</v>
      </c>
      <c r="H187" s="99">
        <f t="shared" si="15"/>
        <v>0</v>
      </c>
      <c r="I187" s="99">
        <f t="shared" si="13"/>
        <v>-657000000</v>
      </c>
      <c r="J187" s="99">
        <f t="shared" si="16"/>
        <v>0</v>
      </c>
      <c r="K187" s="99">
        <f t="shared" si="17"/>
        <v>-657000000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73</v>
      </c>
      <c r="H188" s="99">
        <f t="shared" si="15"/>
        <v>0</v>
      </c>
      <c r="I188" s="99">
        <f t="shared" si="13"/>
        <v>-846800</v>
      </c>
      <c r="J188" s="99">
        <f t="shared" si="16"/>
        <v>0</v>
      </c>
      <c r="K188" s="99">
        <f t="shared" si="17"/>
        <v>-846800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73</v>
      </c>
      <c r="H189" s="99">
        <f t="shared" si="15"/>
        <v>0</v>
      </c>
      <c r="I189" s="99">
        <f t="shared" si="13"/>
        <v>-241215871</v>
      </c>
      <c r="J189" s="99">
        <f t="shared" si="16"/>
        <v>0</v>
      </c>
      <c r="K189" s="99">
        <f t="shared" si="17"/>
        <v>-241215871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72</v>
      </c>
      <c r="H190" s="99">
        <f t="shared" si="15"/>
        <v>0</v>
      </c>
      <c r="I190" s="99">
        <f t="shared" si="13"/>
        <v>-216064800</v>
      </c>
      <c r="J190" s="99">
        <f t="shared" si="16"/>
        <v>0</v>
      </c>
      <c r="K190" s="99">
        <f t="shared" si="17"/>
        <v>-216064800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71</v>
      </c>
      <c r="H191" s="99">
        <f t="shared" si="15"/>
        <v>0</v>
      </c>
      <c r="I191" s="99">
        <f t="shared" si="13"/>
        <v>-196023900</v>
      </c>
      <c r="J191" s="99">
        <f t="shared" si="16"/>
        <v>0</v>
      </c>
      <c r="K191" s="99">
        <f t="shared" si="17"/>
        <v>-196023900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66</v>
      </c>
      <c r="H192" s="99">
        <f t="shared" si="15"/>
        <v>1</v>
      </c>
      <c r="I192" s="99">
        <f t="shared" si="13"/>
        <v>65000000</v>
      </c>
      <c r="J192" s="99">
        <f t="shared" si="16"/>
        <v>0</v>
      </c>
      <c r="K192" s="99">
        <f t="shared" si="17"/>
        <v>65000000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65</v>
      </c>
      <c r="H193" s="99">
        <f t="shared" si="15"/>
        <v>0</v>
      </c>
      <c r="I193" s="99">
        <f t="shared" si="13"/>
        <v>-975000</v>
      </c>
      <c r="J193" s="99">
        <f t="shared" si="16"/>
        <v>0</v>
      </c>
      <c r="K193" s="99">
        <f t="shared" si="17"/>
        <v>-975000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63</v>
      </c>
      <c r="H194" s="99">
        <f t="shared" si="15"/>
        <v>0</v>
      </c>
      <c r="I194" s="99">
        <f t="shared" si="13"/>
        <v>-62370000</v>
      </c>
      <c r="J194" s="99">
        <f t="shared" si="16"/>
        <v>0</v>
      </c>
      <c r="K194" s="99">
        <f t="shared" si="17"/>
        <v>-62370000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63</v>
      </c>
      <c r="H195" s="99">
        <f t="shared" si="15"/>
        <v>1</v>
      </c>
      <c r="I195" s="99">
        <f t="shared" si="13"/>
        <v>48546000</v>
      </c>
      <c r="J195" s="99">
        <f t="shared" si="16"/>
        <v>0</v>
      </c>
      <c r="K195" s="99">
        <f t="shared" si="17"/>
        <v>48546000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61</v>
      </c>
      <c r="H196" s="99">
        <f t="shared" si="15"/>
        <v>0</v>
      </c>
      <c r="I196" s="99">
        <f t="shared" si="13"/>
        <v>-45780500</v>
      </c>
      <c r="J196" s="99">
        <f t="shared" si="16"/>
        <v>0</v>
      </c>
      <c r="K196" s="99">
        <f t="shared" si="17"/>
        <v>-45780500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59</v>
      </c>
      <c r="H197" s="99">
        <f t="shared" si="15"/>
        <v>1</v>
      </c>
      <c r="I197" s="99">
        <f t="shared" si="13"/>
        <v>40600000</v>
      </c>
      <c r="J197" s="99">
        <f t="shared" si="16"/>
        <v>0</v>
      </c>
      <c r="K197" s="99">
        <f t="shared" si="17"/>
        <v>40600000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59</v>
      </c>
      <c r="H198" s="99">
        <f t="shared" si="15"/>
        <v>0</v>
      </c>
      <c r="I198" s="99">
        <f t="shared" si="13"/>
        <v>-5841000</v>
      </c>
      <c r="J198" s="99">
        <f t="shared" si="16"/>
        <v>0</v>
      </c>
      <c r="K198" s="99">
        <f t="shared" si="17"/>
        <v>-5841000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58</v>
      </c>
      <c r="H199" s="99">
        <f t="shared" si="15"/>
        <v>0</v>
      </c>
      <c r="I199" s="99">
        <f t="shared" si="13"/>
        <v>-11933500</v>
      </c>
      <c r="J199" s="99">
        <f t="shared" si="16"/>
        <v>0</v>
      </c>
      <c r="K199" s="99">
        <f t="shared" si="17"/>
        <v>-11933500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58</v>
      </c>
      <c r="H200" s="99">
        <f t="shared" si="15"/>
        <v>0</v>
      </c>
      <c r="I200" s="99">
        <f t="shared" si="13"/>
        <v>-5510000</v>
      </c>
      <c r="J200" s="99">
        <f t="shared" si="16"/>
        <v>0</v>
      </c>
      <c r="K200" s="99">
        <f t="shared" si="17"/>
        <v>-5510000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55</v>
      </c>
      <c r="H201" s="99">
        <f t="shared" si="15"/>
        <v>1</v>
      </c>
      <c r="I201" s="99">
        <f t="shared" si="13"/>
        <v>2627100000</v>
      </c>
      <c r="J201" s="99">
        <f t="shared" si="16"/>
        <v>0</v>
      </c>
      <c r="K201" s="99">
        <f t="shared" si="17"/>
        <v>2627100000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55</v>
      </c>
      <c r="H202" s="99">
        <f t="shared" si="15"/>
        <v>0</v>
      </c>
      <c r="I202" s="99">
        <f t="shared" si="13"/>
        <v>-165049500</v>
      </c>
      <c r="J202" s="99">
        <f t="shared" si="16"/>
        <v>0</v>
      </c>
      <c r="K202" s="99">
        <f t="shared" si="17"/>
        <v>-165049500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55</v>
      </c>
      <c r="H203" s="99">
        <f t="shared" si="15"/>
        <v>0</v>
      </c>
      <c r="I203" s="99">
        <f t="shared" si="13"/>
        <v>-275000</v>
      </c>
      <c r="J203" s="99">
        <f t="shared" si="16"/>
        <v>0</v>
      </c>
      <c r="K203" s="99">
        <f t="shared" si="17"/>
        <v>-275000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55</v>
      </c>
      <c r="H204" s="99">
        <f t="shared" si="15"/>
        <v>0</v>
      </c>
      <c r="I204" s="99">
        <f t="shared" si="13"/>
        <v>-1842500000</v>
      </c>
      <c r="J204" s="99">
        <f t="shared" si="16"/>
        <v>0</v>
      </c>
      <c r="K204" s="99">
        <f t="shared" si="17"/>
        <v>-1842500000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54</v>
      </c>
      <c r="H205" s="99">
        <f t="shared" si="15"/>
        <v>0</v>
      </c>
      <c r="I205" s="99">
        <f t="shared" si="13"/>
        <v>-671490000</v>
      </c>
      <c r="J205" s="99">
        <f t="shared" si="16"/>
        <v>0</v>
      </c>
      <c r="K205" s="99">
        <f t="shared" si="17"/>
        <v>-671490000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51</v>
      </c>
      <c r="H206" s="99">
        <f t="shared" si="15"/>
        <v>0</v>
      </c>
      <c r="I206" s="99">
        <f t="shared" si="13"/>
        <v>-943500</v>
      </c>
      <c r="J206" s="99">
        <f t="shared" si="16"/>
        <v>0</v>
      </c>
      <c r="K206" s="99">
        <f t="shared" si="17"/>
        <v>-943500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49</v>
      </c>
      <c r="H207" s="99">
        <f t="shared" si="15"/>
        <v>1</v>
      </c>
      <c r="I207" s="99">
        <f t="shared" si="13"/>
        <v>695040</v>
      </c>
      <c r="J207" s="99">
        <f t="shared" ref="J207:J266" si="20">C207*(G207-H207)</f>
        <v>3401952</v>
      </c>
      <c r="K207" s="99">
        <f t="shared" si="17"/>
        <v>-2706912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48</v>
      </c>
      <c r="H208" s="99">
        <f t="shared" si="15"/>
        <v>1</v>
      </c>
      <c r="I208" s="99">
        <f t="shared" si="13"/>
        <v>39010000</v>
      </c>
      <c r="J208" s="99">
        <f t="shared" si="20"/>
        <v>0</v>
      </c>
      <c r="K208" s="99">
        <f t="shared" si="17"/>
        <v>39010000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46</v>
      </c>
      <c r="H209" s="99">
        <f t="shared" si="15"/>
        <v>0</v>
      </c>
      <c r="I209" s="99">
        <f t="shared" si="13"/>
        <v>-2412240</v>
      </c>
      <c r="J209" s="99">
        <f t="shared" si="20"/>
        <v>0</v>
      </c>
      <c r="K209" s="99">
        <f t="shared" si="17"/>
        <v>-2412240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45</v>
      </c>
      <c r="H210" s="99">
        <f t="shared" si="15"/>
        <v>0</v>
      </c>
      <c r="I210" s="99">
        <f t="shared" si="13"/>
        <v>-2299500</v>
      </c>
      <c r="J210" s="99">
        <f t="shared" si="20"/>
        <v>0</v>
      </c>
      <c r="K210" s="99">
        <f t="shared" si="17"/>
        <v>-2299500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44</v>
      </c>
      <c r="H211" s="99">
        <f t="shared" si="15"/>
        <v>0</v>
      </c>
      <c r="I211" s="99">
        <f t="shared" si="13"/>
        <v>-8800000</v>
      </c>
      <c r="J211" s="99">
        <f t="shared" si="20"/>
        <v>0</v>
      </c>
      <c r="K211" s="99">
        <f t="shared" si="17"/>
        <v>-8800000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43</v>
      </c>
      <c r="H212" s="99">
        <f t="shared" si="15"/>
        <v>0</v>
      </c>
      <c r="I212" s="99">
        <f t="shared" si="13"/>
        <v>-1204000</v>
      </c>
      <c r="J212" s="99">
        <f t="shared" si="20"/>
        <v>0</v>
      </c>
      <c r="K212" s="99">
        <f t="shared" si="17"/>
        <v>-1204000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42</v>
      </c>
      <c r="H213" s="99">
        <f t="shared" si="15"/>
        <v>0</v>
      </c>
      <c r="I213" s="99">
        <f t="shared" si="13"/>
        <v>-2482200</v>
      </c>
      <c r="J213" s="99">
        <f t="shared" si="20"/>
        <v>0</v>
      </c>
      <c r="K213" s="99">
        <f t="shared" si="17"/>
        <v>-2482200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41</v>
      </c>
      <c r="H214" s="99">
        <f t="shared" si="15"/>
        <v>0</v>
      </c>
      <c r="I214" s="99">
        <f t="shared" si="13"/>
        <v>-1230000</v>
      </c>
      <c r="J214" s="99">
        <f t="shared" si="20"/>
        <v>0</v>
      </c>
      <c r="K214" s="99">
        <f t="shared" si="17"/>
        <v>-1230000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41</v>
      </c>
      <c r="H215" s="99">
        <f t="shared" si="15"/>
        <v>0</v>
      </c>
      <c r="I215" s="99">
        <f t="shared" si="13"/>
        <v>-7298000</v>
      </c>
      <c r="J215" s="99">
        <f t="shared" si="20"/>
        <v>0</v>
      </c>
      <c r="K215" s="99">
        <f t="shared" si="17"/>
        <v>-7298000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40</v>
      </c>
      <c r="H216" s="99">
        <f t="shared" si="15"/>
        <v>0</v>
      </c>
      <c r="I216" s="99">
        <f t="shared" si="13"/>
        <v>-3824400</v>
      </c>
      <c r="J216" s="99">
        <f t="shared" si="20"/>
        <v>0</v>
      </c>
      <c r="K216" s="99">
        <f t="shared" si="17"/>
        <v>-3824400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37</v>
      </c>
      <c r="H217" s="99">
        <f t="shared" si="15"/>
        <v>0</v>
      </c>
      <c r="I217" s="99">
        <f t="shared" si="13"/>
        <v>-3108000</v>
      </c>
      <c r="J217" s="99">
        <f t="shared" si="20"/>
        <v>0</v>
      </c>
      <c r="K217" s="99">
        <f t="shared" si="17"/>
        <v>-3108000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35</v>
      </c>
      <c r="H218" s="99">
        <f t="shared" si="15"/>
        <v>0</v>
      </c>
      <c r="I218" s="99">
        <f t="shared" si="13"/>
        <v>-1155000</v>
      </c>
      <c r="J218" s="99">
        <f t="shared" si="20"/>
        <v>0</v>
      </c>
      <c r="K218" s="99">
        <f t="shared" si="17"/>
        <v>-1155000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32</v>
      </c>
      <c r="H219" s="99">
        <f t="shared" si="15"/>
        <v>1</v>
      </c>
      <c r="I219" s="99">
        <f t="shared" si="13"/>
        <v>47988000</v>
      </c>
      <c r="J219" s="99">
        <f t="shared" si="20"/>
        <v>0</v>
      </c>
      <c r="K219" s="99">
        <f t="shared" si="17"/>
        <v>47988000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31</v>
      </c>
      <c r="H220" s="99">
        <f t="shared" si="15"/>
        <v>0</v>
      </c>
      <c r="I220" s="99">
        <f t="shared" si="13"/>
        <v>-43421700</v>
      </c>
      <c r="J220" s="99">
        <f t="shared" si="20"/>
        <v>0</v>
      </c>
      <c r="K220" s="99">
        <f t="shared" si="17"/>
        <v>-43421700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31</v>
      </c>
      <c r="H221" s="99">
        <f t="shared" si="15"/>
        <v>0</v>
      </c>
      <c r="I221" s="99">
        <f t="shared" si="13"/>
        <v>-310000</v>
      </c>
      <c r="J221" s="99">
        <f t="shared" si="20"/>
        <v>0</v>
      </c>
      <c r="K221" s="99">
        <f t="shared" si="17"/>
        <v>-310000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31</v>
      </c>
      <c r="H222" s="99">
        <f t="shared" si="15"/>
        <v>0</v>
      </c>
      <c r="I222" s="99">
        <f t="shared" si="13"/>
        <v>-155000</v>
      </c>
      <c r="J222" s="99">
        <f t="shared" si="20"/>
        <v>-77500</v>
      </c>
      <c r="K222" s="99">
        <f t="shared" si="17"/>
        <v>-77500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25</v>
      </c>
      <c r="H223" s="99">
        <f t="shared" si="15"/>
        <v>0</v>
      </c>
      <c r="I223" s="99">
        <f t="shared" si="13"/>
        <v>-4750000</v>
      </c>
      <c r="J223" s="99">
        <f t="shared" si="20"/>
        <v>0</v>
      </c>
      <c r="K223" s="99">
        <f t="shared" si="17"/>
        <v>-4750000</v>
      </c>
      <c r="M223" t="s">
        <v>25</v>
      </c>
    </row>
    <row r="224" spans="1:13">
      <c r="A224" s="99" t="s">
        <v>4321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18</v>
      </c>
      <c r="H224" s="99">
        <f t="shared" si="15"/>
        <v>1</v>
      </c>
      <c r="I224" s="99">
        <f t="shared" si="13"/>
        <v>32487</v>
      </c>
      <c r="J224" s="99">
        <f t="shared" si="20"/>
        <v>1104524</v>
      </c>
      <c r="K224" s="99">
        <f t="shared" si="17"/>
        <v>-1072037</v>
      </c>
      <c r="M224" t="s">
        <v>25</v>
      </c>
    </row>
    <row r="225" spans="1:13">
      <c r="A225" s="99" t="s">
        <v>4348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12</v>
      </c>
      <c r="H225" s="99">
        <f t="shared" si="15"/>
        <v>1</v>
      </c>
      <c r="I225" s="99">
        <f t="shared" si="13"/>
        <v>55000000</v>
      </c>
      <c r="J225" s="99">
        <f t="shared" si="20"/>
        <v>0</v>
      </c>
      <c r="K225" s="99">
        <f t="shared" si="17"/>
        <v>55000000</v>
      </c>
    </row>
    <row r="226" spans="1:13">
      <c r="A226" s="99" t="s">
        <v>4356</v>
      </c>
      <c r="B226" s="18">
        <v>-3200000</v>
      </c>
      <c r="C226" s="18">
        <v>0</v>
      </c>
      <c r="D226" s="18">
        <f t="shared" si="18"/>
        <v>-3200000</v>
      </c>
      <c r="E226" s="99" t="s">
        <v>4372</v>
      </c>
      <c r="F226" s="99">
        <v>0</v>
      </c>
      <c r="G226" s="36">
        <f t="shared" si="21"/>
        <v>11</v>
      </c>
      <c r="H226" s="99">
        <f t="shared" si="15"/>
        <v>0</v>
      </c>
      <c r="I226" s="99">
        <f t="shared" si="13"/>
        <v>-35200000</v>
      </c>
      <c r="J226" s="99">
        <f t="shared" si="20"/>
        <v>0</v>
      </c>
      <c r="K226" s="99">
        <f t="shared" si="17"/>
        <v>-35200000</v>
      </c>
    </row>
    <row r="227" spans="1:13">
      <c r="A227" s="99" t="s">
        <v>4356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11</v>
      </c>
      <c r="H227" s="99">
        <f t="shared" si="15"/>
        <v>1</v>
      </c>
      <c r="I227" s="99">
        <f t="shared" si="13"/>
        <v>24000000</v>
      </c>
      <c r="J227" s="99">
        <f t="shared" si="20"/>
        <v>0</v>
      </c>
      <c r="K227" s="99">
        <f t="shared" si="17"/>
        <v>24000000</v>
      </c>
    </row>
    <row r="228" spans="1:13">
      <c r="A228" s="99" t="s">
        <v>4389</v>
      </c>
      <c r="B228" s="18">
        <v>-50000</v>
      </c>
      <c r="C228" s="18">
        <v>0</v>
      </c>
      <c r="D228" s="18">
        <f t="shared" si="18"/>
        <v>-50000</v>
      </c>
      <c r="E228" s="99" t="s">
        <v>4393</v>
      </c>
      <c r="F228" s="99">
        <v>1</v>
      </c>
      <c r="G228" s="36">
        <f t="shared" si="21"/>
        <v>9</v>
      </c>
      <c r="H228" s="99">
        <f t="shared" si="15"/>
        <v>0</v>
      </c>
      <c r="I228" s="99">
        <f t="shared" si="13"/>
        <v>-450000</v>
      </c>
      <c r="J228" s="99">
        <f t="shared" si="20"/>
        <v>0</v>
      </c>
      <c r="K228" s="99">
        <f t="shared" si="17"/>
        <v>-450000</v>
      </c>
    </row>
    <row r="229" spans="1:13">
      <c r="A229" s="99" t="s">
        <v>4382</v>
      </c>
      <c r="B229" s="18">
        <v>-4100700</v>
      </c>
      <c r="C229" s="18">
        <v>0</v>
      </c>
      <c r="D229" s="18">
        <f t="shared" si="18"/>
        <v>-4100700</v>
      </c>
      <c r="E229" s="99" t="s">
        <v>4394</v>
      </c>
      <c r="F229" s="99">
        <v>4</v>
      </c>
      <c r="G229" s="36">
        <f t="shared" si="21"/>
        <v>8</v>
      </c>
      <c r="H229" s="99">
        <f t="shared" si="15"/>
        <v>0</v>
      </c>
      <c r="I229" s="99">
        <f t="shared" si="13"/>
        <v>-32805600</v>
      </c>
      <c r="J229" s="99">
        <f t="shared" si="20"/>
        <v>0</v>
      </c>
      <c r="K229" s="99">
        <f t="shared" si="17"/>
        <v>-32805600</v>
      </c>
    </row>
    <row r="230" spans="1:13">
      <c r="A230" s="99" t="s">
        <v>4405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4</v>
      </c>
      <c r="H230" s="99">
        <f t="shared" si="15"/>
        <v>1</v>
      </c>
      <c r="I230" s="99">
        <f t="shared" si="13"/>
        <v>29100000</v>
      </c>
      <c r="J230" s="99">
        <f t="shared" si="20"/>
        <v>0</v>
      </c>
      <c r="K230" s="99">
        <f t="shared" si="17"/>
        <v>29100000</v>
      </c>
    </row>
    <row r="231" spans="1:13">
      <c r="A231" s="99" t="s">
        <v>4405</v>
      </c>
      <c r="B231" s="18">
        <v>-3000900</v>
      </c>
      <c r="C231" s="18">
        <v>0</v>
      </c>
      <c r="D231" s="18">
        <f t="shared" si="18"/>
        <v>-3000900</v>
      </c>
      <c r="E231" s="99" t="s">
        <v>4414</v>
      </c>
      <c r="F231" s="99">
        <v>1</v>
      </c>
      <c r="G231" s="36">
        <f t="shared" si="21"/>
        <v>4</v>
      </c>
      <c r="H231" s="99">
        <f t="shared" si="15"/>
        <v>0</v>
      </c>
      <c r="I231" s="99">
        <f t="shared" si="13"/>
        <v>-12003600</v>
      </c>
      <c r="J231" s="99">
        <f t="shared" si="20"/>
        <v>0</v>
      </c>
      <c r="K231" s="99">
        <f t="shared" si="17"/>
        <v>-12003600</v>
      </c>
    </row>
    <row r="232" spans="1:13">
      <c r="A232" s="99" t="s">
        <v>4406</v>
      </c>
      <c r="B232" s="18">
        <v>-3000900</v>
      </c>
      <c r="C232" s="18">
        <v>0</v>
      </c>
      <c r="D232" s="18">
        <f t="shared" si="18"/>
        <v>-3000900</v>
      </c>
      <c r="E232" s="99" t="s">
        <v>4414</v>
      </c>
      <c r="F232" s="99">
        <v>0</v>
      </c>
      <c r="G232" s="36">
        <f t="shared" si="21"/>
        <v>3</v>
      </c>
      <c r="H232" s="99">
        <f t="shared" si="15"/>
        <v>0</v>
      </c>
      <c r="I232" s="99">
        <f t="shared" si="13"/>
        <v>-9002700</v>
      </c>
      <c r="J232" s="99">
        <f t="shared" si="20"/>
        <v>0</v>
      </c>
      <c r="K232" s="99">
        <f t="shared" si="17"/>
        <v>-9002700</v>
      </c>
    </row>
    <row r="233" spans="1:13">
      <c r="A233" s="99" t="s">
        <v>4406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3</v>
      </c>
      <c r="H233" s="99">
        <f t="shared" si="15"/>
        <v>0</v>
      </c>
      <c r="I233" s="99">
        <f t="shared" si="13"/>
        <v>-1665000</v>
      </c>
      <c r="J233" s="99">
        <f t="shared" si="20"/>
        <v>0</v>
      </c>
      <c r="K233" s="99">
        <f t="shared" si="17"/>
        <v>-1665000</v>
      </c>
    </row>
    <row r="234" spans="1:13">
      <c r="A234" s="99" t="s">
        <v>4429</v>
      </c>
      <c r="B234" s="18">
        <v>-138360</v>
      </c>
      <c r="C234" s="18">
        <v>0</v>
      </c>
      <c r="D234" s="18">
        <f t="shared" si="18"/>
        <v>-138360</v>
      </c>
      <c r="E234" s="99" t="s">
        <v>4431</v>
      </c>
      <c r="F234" s="99">
        <v>1</v>
      </c>
      <c r="G234" s="36">
        <f t="shared" si="21"/>
        <v>2</v>
      </c>
      <c r="H234" s="99">
        <f t="shared" si="15"/>
        <v>0</v>
      </c>
      <c r="I234" s="99">
        <f t="shared" si="13"/>
        <v>-276720</v>
      </c>
      <c r="J234" s="99">
        <f t="shared" si="20"/>
        <v>0</v>
      </c>
      <c r="K234" s="99">
        <f t="shared" si="17"/>
        <v>-276720</v>
      </c>
    </row>
    <row r="235" spans="1:13">
      <c r="A235" s="99" t="s">
        <v>4432</v>
      </c>
      <c r="B235" s="18">
        <v>-3000900</v>
      </c>
      <c r="C235" s="18">
        <v>0</v>
      </c>
      <c r="D235" s="18">
        <f t="shared" si="18"/>
        <v>-3000900</v>
      </c>
      <c r="E235" s="99" t="s">
        <v>4414</v>
      </c>
      <c r="F235" s="99">
        <v>1</v>
      </c>
      <c r="G235" s="36">
        <f t="shared" si="21"/>
        <v>1</v>
      </c>
      <c r="H235" s="99">
        <f t="shared" si="15"/>
        <v>0</v>
      </c>
      <c r="I235" s="99">
        <f t="shared" si="13"/>
        <v>-3000900</v>
      </c>
      <c r="J235" s="99">
        <f t="shared" si="20"/>
        <v>0</v>
      </c>
      <c r="K235" s="99">
        <f t="shared" si="17"/>
        <v>-3000900</v>
      </c>
      <c r="M235" t="s">
        <v>25</v>
      </c>
    </row>
    <row r="236" spans="1:13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62018</v>
      </c>
      <c r="C267" s="29">
        <f>SUM(C2:C256)</f>
        <v>7968789</v>
      </c>
      <c r="D267" s="29">
        <f>SUM(D2:D254)</f>
        <v>-7906771</v>
      </c>
      <c r="E267" s="11"/>
      <c r="F267" s="11"/>
      <c r="G267" s="11"/>
      <c r="H267" s="11"/>
      <c r="I267" s="29">
        <f>SUM(I2:I266)</f>
        <v>18795319057</v>
      </c>
      <c r="J267" s="29">
        <f>SUM(J2:J266)</f>
        <v>8440652970</v>
      </c>
      <c r="K267" s="29">
        <f>SUM(K2:K266)</f>
        <v>10354666087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19931409.392364793</v>
      </c>
      <c r="J270" s="29">
        <f>J267/G2</f>
        <v>8950851.5058324505</v>
      </c>
      <c r="K270" s="29">
        <f>K267/G2</f>
        <v>10980557.886532344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-6710132</v>
      </c>
      <c r="G274" t="s">
        <v>25</v>
      </c>
      <c r="J274">
        <f>J267/I267*1448696</f>
        <v>650584.33740570256</v>
      </c>
      <c r="K274">
        <f>K267/I267*1448696</f>
        <v>798111.66259429744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4321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4291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4313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4320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4324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8" t="s">
        <v>4231</v>
      </c>
      <c r="B3" s="189">
        <f>$S3/(1+($B$1-$O3+$P3)/36500)^$N3</f>
        <v>97098.721940649513</v>
      </c>
      <c r="C3" s="189">
        <f t="shared" si="0"/>
        <v>97557.073321153264</v>
      </c>
      <c r="D3" s="189">
        <f t="shared" ref="D3:D38" si="5">$S3/(1+($D$1-$O3+$P3)/36500)^$N3</f>
        <v>97614.522705318159</v>
      </c>
      <c r="E3" s="189">
        <f t="shared" ref="E3:E38" si="6">$S3/(1+($E$1-$O3+$P3)/36500)^$N3</f>
        <v>97672.00670749729</v>
      </c>
      <c r="F3" s="189">
        <f t="shared" ref="F3:F38" si="7">$S3/(1+($F$1-$O3+$P3)/36500)^$N3</f>
        <v>97729.525349026546</v>
      </c>
      <c r="G3" s="189">
        <f t="shared" ref="G3:G38" si="8">$S3/(1+($G$1-$O3+$P3)/36500)^$N3</f>
        <v>97787.078651252508</v>
      </c>
      <c r="H3" s="189">
        <f t="shared" ref="H3:H38" si="9">$S3/(1+($H$1-$O3+$P3)/36500)^$N3</f>
        <v>97844.666635538088</v>
      </c>
      <c r="I3" s="189">
        <f t="shared" ref="I3:I38" si="10">$S3/(1+($I$1-$O3+$P3)/36500)^$N3</f>
        <v>97902.289323257239</v>
      </c>
      <c r="J3" s="189">
        <f t="shared" ref="J3:J38" si="11">$S3/(1+($J$1-$O3+$P3)/36500)^$N3</f>
        <v>97959.946735798527</v>
      </c>
      <c r="K3" s="189">
        <f t="shared" ref="K3:K38" si="12">$S3/(1+($K$1-$O3+$P3)/36500)^$N3</f>
        <v>98017.63889456552</v>
      </c>
      <c r="L3" s="189">
        <f t="shared" si="1"/>
        <v>97672.00670749729</v>
      </c>
      <c r="M3" s="188" t="s">
        <v>4240</v>
      </c>
      <c r="N3" s="188">
        <f>272-$AD$19</f>
        <v>43</v>
      </c>
      <c r="O3" s="188">
        <v>0</v>
      </c>
      <c r="P3" s="188">
        <v>0</v>
      </c>
      <c r="Q3" s="188">
        <v>0</v>
      </c>
      <c r="R3" s="188"/>
      <c r="S3" s="189">
        <v>100000</v>
      </c>
      <c r="T3" s="189"/>
      <c r="U3" s="189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8" t="s">
        <v>985</v>
      </c>
      <c r="B7" s="189">
        <f t="shared" si="14"/>
        <v>84846.428120270313</v>
      </c>
      <c r="C7" s="189">
        <f t="shared" si="0"/>
        <v>87106.168413409643</v>
      </c>
      <c r="D7" s="189">
        <f t="shared" si="5"/>
        <v>87392.852883421438</v>
      </c>
      <c r="E7" s="189">
        <f t="shared" si="6"/>
        <v>87680.484835890209</v>
      </c>
      <c r="F7" s="189">
        <f t="shared" si="7"/>
        <v>87969.067415256388</v>
      </c>
      <c r="G7" s="189">
        <f t="shared" si="8"/>
        <v>88258.603776425429</v>
      </c>
      <c r="H7" s="189">
        <f t="shared" si="9"/>
        <v>88549.097084830384</v>
      </c>
      <c r="I7" s="189">
        <f t="shared" si="10"/>
        <v>88840.550516442469</v>
      </c>
      <c r="J7" s="189">
        <f t="shared" si="11"/>
        <v>89132.967257821831</v>
      </c>
      <c r="K7" s="189">
        <f t="shared" si="12"/>
        <v>89426.35050615661</v>
      </c>
      <c r="L7" s="189">
        <f t="shared" si="1"/>
        <v>87680.484835890209</v>
      </c>
      <c r="M7" s="188" t="s">
        <v>994</v>
      </c>
      <c r="N7" s="188">
        <f>469-$AD$19</f>
        <v>240</v>
      </c>
      <c r="O7" s="188">
        <v>0</v>
      </c>
      <c r="P7" s="188">
        <v>0</v>
      </c>
      <c r="Q7" s="188">
        <v>0</v>
      </c>
      <c r="R7" s="188">
        <f t="shared" si="2"/>
        <v>7.8688524590163933</v>
      </c>
      <c r="S7" s="189">
        <v>100000</v>
      </c>
      <c r="T7" s="189">
        <v>77700</v>
      </c>
      <c r="U7" s="189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8" t="s">
        <v>987</v>
      </c>
      <c r="B10" s="189">
        <f t="shared" si="14"/>
        <v>73181.915318684158</v>
      </c>
      <c r="C10" s="189">
        <f t="shared" si="0"/>
        <v>76929.503612245229</v>
      </c>
      <c r="D10" s="189">
        <f t="shared" si="5"/>
        <v>77411.278823630317</v>
      </c>
      <c r="E10" s="189">
        <f t="shared" si="6"/>
        <v>77896.077836591649</v>
      </c>
      <c r="F10" s="189">
        <f t="shared" si="7"/>
        <v>78383.919671440424</v>
      </c>
      <c r="G10" s="189">
        <f t="shared" si="8"/>
        <v>78874.82346836901</v>
      </c>
      <c r="H10" s="189">
        <f t="shared" si="9"/>
        <v>79368.808488254756</v>
      </c>
      <c r="I10" s="189">
        <f t="shared" si="10"/>
        <v>79865.894113380797</v>
      </c>
      <c r="J10" s="189">
        <f t="shared" si="11"/>
        <v>80366.099848229351</v>
      </c>
      <c r="K10" s="189">
        <f t="shared" si="12"/>
        <v>80869.445320260129</v>
      </c>
      <c r="L10" s="189">
        <f t="shared" si="1"/>
        <v>77896.077836591649</v>
      </c>
      <c r="M10" s="188" t="s">
        <v>999</v>
      </c>
      <c r="N10" s="188">
        <f>685-$AD$19</f>
        <v>456</v>
      </c>
      <c r="O10" s="188">
        <v>0</v>
      </c>
      <c r="P10" s="188">
        <v>0</v>
      </c>
      <c r="Q10" s="188">
        <v>0</v>
      </c>
      <c r="R10" s="188">
        <f t="shared" si="2"/>
        <v>14.950819672131148</v>
      </c>
      <c r="S10" s="189">
        <v>100000</v>
      </c>
      <c r="T10" s="189">
        <v>70000</v>
      </c>
      <c r="U10" s="189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8" t="s">
        <v>990</v>
      </c>
      <c r="B13" s="189">
        <f t="shared" si="14"/>
        <v>77514.334768791377</v>
      </c>
      <c r="C13" s="189">
        <f t="shared" si="0"/>
        <v>80737.595535844011</v>
      </c>
      <c r="D13" s="189">
        <f t="shared" si="5"/>
        <v>81149.84060249904</v>
      </c>
      <c r="E13" s="189">
        <f t="shared" si="6"/>
        <v>81564.196274200891</v>
      </c>
      <c r="F13" s="189">
        <f t="shared" si="7"/>
        <v>81980.673385916467</v>
      </c>
      <c r="G13" s="189">
        <f t="shared" si="8"/>
        <v>82399.282828364332</v>
      </c>
      <c r="H13" s="189">
        <f t="shared" si="9"/>
        <v>82820.035548342305</v>
      </c>
      <c r="I13" s="189">
        <f t="shared" si="10"/>
        <v>83242.942548981431</v>
      </c>
      <c r="J13" s="189">
        <f t="shared" si="11"/>
        <v>83668.01489005897</v>
      </c>
      <c r="K13" s="189">
        <f t="shared" si="12"/>
        <v>84095.263688296138</v>
      </c>
      <c r="L13" s="189">
        <f t="shared" si="1"/>
        <v>81564.196274200891</v>
      </c>
      <c r="M13" s="188" t="s">
        <v>992</v>
      </c>
      <c r="N13" s="188">
        <f>601-$AD$19</f>
        <v>372</v>
      </c>
      <c r="O13" s="188">
        <v>0</v>
      </c>
      <c r="P13" s="188">
        <v>0</v>
      </c>
      <c r="Q13" s="188">
        <v>0</v>
      </c>
      <c r="R13" s="188">
        <f t="shared" si="2"/>
        <v>12.196721311475409</v>
      </c>
      <c r="S13" s="189">
        <v>100000</v>
      </c>
      <c r="T13" s="189">
        <v>73100</v>
      </c>
      <c r="U13" s="189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8" t="s">
        <v>4233</v>
      </c>
      <c r="B17" s="189">
        <f t="shared" si="14"/>
        <v>97498.441689116444</v>
      </c>
      <c r="C17" s="189">
        <f t="shared" si="0"/>
        <v>97894.330454208728</v>
      </c>
      <c r="D17" s="189">
        <f t="shared" si="5"/>
        <v>97943.932499446819</v>
      </c>
      <c r="E17" s="189">
        <f t="shared" si="6"/>
        <v>97993.560357147391</v>
      </c>
      <c r="F17" s="189">
        <f t="shared" si="7"/>
        <v>98043.214041097846</v>
      </c>
      <c r="G17" s="189">
        <f t="shared" si="8"/>
        <v>98092.893565090722</v>
      </c>
      <c r="H17" s="189">
        <f t="shared" si="9"/>
        <v>98142.598942928496</v>
      </c>
      <c r="I17" s="189">
        <f t="shared" si="10"/>
        <v>98192.330188419393</v>
      </c>
      <c r="J17" s="189">
        <f t="shared" si="11"/>
        <v>98242.087315379904</v>
      </c>
      <c r="K17" s="189">
        <f t="shared" si="12"/>
        <v>98291.870337635555</v>
      </c>
      <c r="L17" s="189">
        <f t="shared" si="1"/>
        <v>97993.560357147391</v>
      </c>
      <c r="M17" s="188" t="s">
        <v>4242</v>
      </c>
      <c r="N17" s="188">
        <f>266-$AD$19</f>
        <v>37</v>
      </c>
      <c r="O17" s="188">
        <v>0</v>
      </c>
      <c r="P17" s="188">
        <v>0</v>
      </c>
      <c r="Q17" s="188">
        <v>0</v>
      </c>
      <c r="R17" s="188">
        <f t="shared" si="2"/>
        <v>1.2131147540983607</v>
      </c>
      <c r="S17" s="189">
        <v>100000</v>
      </c>
      <c r="T17" s="189"/>
      <c r="U17" s="189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8" t="s">
        <v>4237</v>
      </c>
      <c r="B21" s="189">
        <f t="shared" si="14"/>
        <v>65543.373031167139</v>
      </c>
      <c r="C21" s="189">
        <f>$S21/(1+($C$1-$O21+$P21)/36500)^$N21</f>
        <v>70125.462894555676</v>
      </c>
      <c r="D21" s="189">
        <f t="shared" si="5"/>
        <v>70720.339391261034</v>
      </c>
      <c r="E21" s="189">
        <f t="shared" si="6"/>
        <v>71320.270492205644</v>
      </c>
      <c r="F21" s="189">
        <f t="shared" si="7"/>
        <v>71925.299215941108</v>
      </c>
      <c r="G21" s="189">
        <f t="shared" si="8"/>
        <v>72535.468947707297</v>
      </c>
      <c r="H21" s="189">
        <f t="shared" si="9"/>
        <v>73150.823442621302</v>
      </c>
      <c r="I21" s="189">
        <f t="shared" si="10"/>
        <v>73771.406828783569</v>
      </c>
      <c r="J21" s="189">
        <f t="shared" si="11"/>
        <v>74397.263610495604</v>
      </c>
      <c r="K21" s="189">
        <f t="shared" si="12"/>
        <v>75028.438671480224</v>
      </c>
      <c r="L21" s="189">
        <f t="shared" si="1"/>
        <v>71320.270492205644</v>
      </c>
      <c r="M21" s="188" t="s">
        <v>4245</v>
      </c>
      <c r="N21" s="188">
        <f>846-$AD$19</f>
        <v>617</v>
      </c>
      <c r="O21" s="188">
        <v>0</v>
      </c>
      <c r="P21" s="188">
        <v>0</v>
      </c>
      <c r="Q21" s="188">
        <v>0</v>
      </c>
      <c r="R21" s="188">
        <f t="shared" si="2"/>
        <v>20.229508196721312</v>
      </c>
      <c r="S21" s="189">
        <v>100000</v>
      </c>
      <c r="T21" s="189"/>
      <c r="U21" s="189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4" t="s">
        <v>4407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4" t="s">
        <v>4408</v>
      </c>
      <c r="N22" s="194">
        <f>547-$AD$19</f>
        <v>318</v>
      </c>
      <c r="O22" s="194">
        <v>0</v>
      </c>
      <c r="P22" s="194">
        <v>0</v>
      </c>
      <c r="Q22" s="194">
        <v>0</v>
      </c>
      <c r="R22" s="194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8" t="s">
        <v>4301</v>
      </c>
      <c r="B23" s="189">
        <f t="shared" si="14"/>
        <v>78960.656096634382</v>
      </c>
      <c r="C23" s="189">
        <f>$S23/(1+($C$1-$O23+$P23)/36500)^$N23</f>
        <v>82001.219096175962</v>
      </c>
      <c r="D23" s="189">
        <f t="shared" si="5"/>
        <v>82389.455079488122</v>
      </c>
      <c r="E23" s="189">
        <f t="shared" si="6"/>
        <v>82779.534524935065</v>
      </c>
      <c r="F23" s="189">
        <f t="shared" si="7"/>
        <v>83171.466211261708</v>
      </c>
      <c r="G23" s="189">
        <f t="shared" si="8"/>
        <v>83565.258959120532</v>
      </c>
      <c r="H23" s="189">
        <f t="shared" si="9"/>
        <v>83960.921631309786</v>
      </c>
      <c r="I23" s="189">
        <f t="shared" si="10"/>
        <v>84358.463132941659</v>
      </c>
      <c r="J23" s="189">
        <f t="shared" si="11"/>
        <v>84757.892411666151</v>
      </c>
      <c r="K23" s="189">
        <f t="shared" si="12"/>
        <v>85159.218457879892</v>
      </c>
      <c r="L23" s="189">
        <f t="shared" si="1"/>
        <v>82779.534524935065</v>
      </c>
      <c r="M23" s="188" t="s">
        <v>4302</v>
      </c>
      <c r="N23" s="188">
        <f>574-$AD$19</f>
        <v>345</v>
      </c>
      <c r="O23" s="188">
        <v>0</v>
      </c>
      <c r="P23" s="188"/>
      <c r="Q23" s="188">
        <v>0</v>
      </c>
      <c r="R23" s="188">
        <f t="shared" si="2"/>
        <v>11.311475409836065</v>
      </c>
      <c r="S23" s="189">
        <v>100000</v>
      </c>
      <c r="T23" s="189"/>
      <c r="U23" s="189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8" t="s">
        <v>1004</v>
      </c>
      <c r="B26" s="189">
        <f t="shared" si="14"/>
        <v>76090.403341232028</v>
      </c>
      <c r="C26" s="189">
        <f t="shared" si="16"/>
        <v>86478.793364214158</v>
      </c>
      <c r="D26" s="189">
        <f t="shared" si="5"/>
        <v>87873.41738578878</v>
      </c>
      <c r="E26" s="189">
        <f t="shared" si="6"/>
        <v>89290.551761047784</v>
      </c>
      <c r="F26" s="189">
        <f t="shared" si="7"/>
        <v>90730.560140980146</v>
      </c>
      <c r="G26" s="189">
        <f t="shared" si="8"/>
        <v>92193.812056476731</v>
      </c>
      <c r="H26" s="189">
        <f t="shared" si="9"/>
        <v>93680.683013418311</v>
      </c>
      <c r="I26" s="189">
        <f t="shared" si="10"/>
        <v>95191.554589233987</v>
      </c>
      <c r="J26" s="189">
        <f t="shared" si="11"/>
        <v>96726.814531451411</v>
      </c>
      <c r="K26" s="189">
        <f t="shared" si="12"/>
        <v>98286.856857243998</v>
      </c>
      <c r="L26" s="189">
        <f t="shared" si="1"/>
        <v>89290.551761047784</v>
      </c>
      <c r="M26" s="188" t="s">
        <v>1005</v>
      </c>
      <c r="N26" s="188">
        <f>1397-$AD$19</f>
        <v>1168</v>
      </c>
      <c r="O26" s="188">
        <v>17</v>
      </c>
      <c r="P26" s="188">
        <f>$AI$2</f>
        <v>0.54</v>
      </c>
      <c r="Q26" s="188">
        <v>6</v>
      </c>
      <c r="R26" s="188">
        <f t="shared" si="2"/>
        <v>38.295081967213115</v>
      </c>
      <c r="S26" s="189">
        <v>100000</v>
      </c>
      <c r="T26" s="189">
        <v>96000</v>
      </c>
      <c r="U26" s="189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8" t="s">
        <v>996</v>
      </c>
      <c r="B37" s="189">
        <f t="shared" si="14"/>
        <v>94192.244493389342</v>
      </c>
      <c r="C37" s="189">
        <f t="shared" si="16"/>
        <v>100000</v>
      </c>
      <c r="D37" s="189">
        <f t="shared" si="5"/>
        <v>100750.75446372948</v>
      </c>
      <c r="E37" s="189">
        <f t="shared" si="6"/>
        <v>101507.15565063358</v>
      </c>
      <c r="F37" s="189">
        <f t="shared" si="7"/>
        <v>102269.24611020349</v>
      </c>
      <c r="G37" s="189">
        <f t="shared" si="8"/>
        <v>103037.06871311093</v>
      </c>
      <c r="H37" s="189">
        <f t="shared" si="9"/>
        <v>103810.66665371189</v>
      </c>
      <c r="I37" s="189">
        <f t="shared" si="10"/>
        <v>104590.08345241382</v>
      </c>
      <c r="J37" s="189">
        <f t="shared" si="11"/>
        <v>105375.3629581948</v>
      </c>
      <c r="K37" s="189">
        <f t="shared" si="12"/>
        <v>106166.54935105896</v>
      </c>
      <c r="L37" s="189">
        <f t="shared" si="1"/>
        <v>101507.15565063358</v>
      </c>
      <c r="M37" s="188" t="s">
        <v>997</v>
      </c>
      <c r="N37" s="188">
        <f>775-$AD$19</f>
        <v>546</v>
      </c>
      <c r="O37" s="188">
        <v>21</v>
      </c>
      <c r="P37" s="188">
        <v>0</v>
      </c>
      <c r="Q37" s="188">
        <v>1</v>
      </c>
      <c r="R37" s="188">
        <f t="shared" si="2"/>
        <v>17.901639344262296</v>
      </c>
      <c r="S37" s="189">
        <v>100000</v>
      </c>
      <c r="T37" s="189">
        <v>104000</v>
      </c>
      <c r="U37" s="189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J26" sqref="J2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1232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14800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4296462.4411575552</v>
      </c>
      <c r="C8" s="99">
        <f>B2*B4*B5/(B1*B3)+B7/B6</f>
        <v>290.3015162944294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4800000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503537.55884244479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196" t="s">
        <v>1090</v>
      </c>
      <c r="R21" s="196"/>
      <c r="S21" s="196"/>
      <c r="T21" s="196"/>
      <c r="U21" s="96"/>
      <c r="V21" s="96"/>
      <c r="W21" s="96"/>
      <c r="X21" s="96"/>
      <c r="Y21" s="96"/>
      <c r="Z21" s="96"/>
    </row>
    <row r="22" spans="5:35">
      <c r="O22" s="99"/>
      <c r="P22" s="99"/>
      <c r="Q22" s="196"/>
      <c r="R22" s="196"/>
      <c r="S22" s="196"/>
      <c r="T22" s="196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197" t="s">
        <v>1091</v>
      </c>
      <c r="R23" s="198" t="s">
        <v>1092</v>
      </c>
      <c r="S23" s="197" t="s">
        <v>1093</v>
      </c>
      <c r="T23" s="199" t="s">
        <v>1094</v>
      </c>
      <c r="AD23" t="s">
        <v>25</v>
      </c>
    </row>
    <row r="24" spans="5:35">
      <c r="O24" s="99"/>
      <c r="P24" s="99"/>
      <c r="Q24" s="197"/>
      <c r="R24" s="198"/>
      <c r="S24" s="197"/>
      <c r="T24" s="199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30" sqref="N3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4416</v>
      </c>
      <c r="L21" s="33" t="s">
        <v>4418</v>
      </c>
      <c r="M21" s="96" t="s">
        <v>4417</v>
      </c>
      <c r="N21" s="195" t="s">
        <v>4419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4376</v>
      </c>
      <c r="L23">
        <v>9149046982</v>
      </c>
      <c r="M23" t="s">
        <v>4377</v>
      </c>
      <c r="N23" t="s">
        <v>4378</v>
      </c>
      <c r="O23" t="s">
        <v>4379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4380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4381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9"/>
  <sheetViews>
    <sheetView tabSelected="1" topLeftCell="F12" zoomScaleNormal="100" workbookViewId="0">
      <selection activeCell="L23" sqref="L2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-L83*12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4398</v>
      </c>
      <c r="AS9" s="99" t="s">
        <v>4399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4426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4400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4400000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-7906771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99" t="s">
        <v>4083</v>
      </c>
      <c r="N18" s="113">
        <v>35695</v>
      </c>
      <c r="Q18" s="99" t="s">
        <v>4333</v>
      </c>
      <c r="R18" s="99" t="s">
        <v>25</v>
      </c>
      <c r="S18" s="99"/>
      <c r="T18" s="95"/>
      <c r="U18" s="169" t="s">
        <v>4425</v>
      </c>
      <c r="V18" s="36" t="s">
        <v>4427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-آبان97!D70</f>
        <v>57146703</v>
      </c>
      <c r="M19" s="169" t="s">
        <v>4344</v>
      </c>
      <c r="N19" s="113">
        <f t="shared" ref="N19:N24" si="4">O19*P19</f>
        <v>10191541.6</v>
      </c>
      <c r="O19" s="99">
        <v>48028</v>
      </c>
      <c r="P19" s="193">
        <f>P38</f>
        <v>212.2</v>
      </c>
      <c r="Q19" s="99" t="s">
        <v>267</v>
      </c>
      <c r="R19" s="99" t="s">
        <v>180</v>
      </c>
      <c r="S19" s="99" t="s">
        <v>183</v>
      </c>
      <c r="T19" s="99" t="s">
        <v>8</v>
      </c>
      <c r="U19" s="99"/>
      <c r="V19" s="9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4360</v>
      </c>
      <c r="N20" s="113">
        <f t="shared" si="4"/>
        <v>10402992</v>
      </c>
      <c r="O20" s="99">
        <v>33504</v>
      </c>
      <c r="P20" s="193">
        <f>P43</f>
        <v>310.5</v>
      </c>
      <c r="Q20" s="170">
        <v>9268987</v>
      </c>
      <c r="R20" s="99" t="s">
        <v>4181</v>
      </c>
      <c r="S20" s="99">
        <v>44</v>
      </c>
      <c r="T20" s="99" t="s">
        <v>4353</v>
      </c>
      <c r="U20" s="99">
        <v>192.1</v>
      </c>
      <c r="V20" s="99">
        <f>U20*(1+$R$59+$Q$15*S20/36500)</f>
        <v>200.73555287671232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215</v>
      </c>
      <c r="AL20" s="113">
        <f>AI20*AK20</f>
        <v>3870000000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L52</f>
        <v>297124905</v>
      </c>
      <c r="G21" s="29">
        <f t="shared" si="0"/>
        <v>-35124905</v>
      </c>
      <c r="H21" s="11" t="s">
        <v>4216</v>
      </c>
      <c r="J21" s="25"/>
      <c r="K21" s="169"/>
      <c r="L21" s="117"/>
      <c r="M21" s="169" t="s">
        <v>4352</v>
      </c>
      <c r="N21" s="113">
        <f t="shared" si="4"/>
        <v>3026479.1</v>
      </c>
      <c r="O21" s="99">
        <v>21179</v>
      </c>
      <c r="P21" s="193">
        <f>P45</f>
        <v>142.9</v>
      </c>
      <c r="Q21" s="170">
        <v>54501</v>
      </c>
      <c r="R21" s="99" t="s">
        <v>4289</v>
      </c>
      <c r="S21" s="99">
        <f>S20-24</f>
        <v>20</v>
      </c>
      <c r="T21" s="99" t="s">
        <v>4288</v>
      </c>
      <c r="U21" s="99">
        <v>350</v>
      </c>
      <c r="V21" s="99">
        <f t="shared" ref="V21:V27" si="5">U21*(1+$R$59+$Q$15*S21/36500)</f>
        <v>359.28986301369866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6">AK22+AJ21</f>
        <v>214</v>
      </c>
      <c r="AL21" s="113">
        <f t="shared" ref="AL21:AL88" si="7">AI21*AK21</f>
        <v>535000000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69" t="s">
        <v>456</v>
      </c>
      <c r="L22" s="117">
        <v>140000</v>
      </c>
      <c r="M22" s="169" t="s">
        <v>4290</v>
      </c>
      <c r="N22" s="113">
        <f t="shared" si="4"/>
        <v>98828</v>
      </c>
      <c r="O22" s="99">
        <v>155</v>
      </c>
      <c r="P22" s="193">
        <f>P41</f>
        <v>637.6</v>
      </c>
      <c r="Q22" s="170">
        <v>4470930</v>
      </c>
      <c r="R22" s="99" t="s">
        <v>4331</v>
      </c>
      <c r="S22" s="99">
        <f>S21-6</f>
        <v>14</v>
      </c>
      <c r="T22" s="99" t="s">
        <v>4354</v>
      </c>
      <c r="U22" s="99">
        <v>185.8</v>
      </c>
      <c r="V22" s="99">
        <f t="shared" si="5"/>
        <v>189.87640109589046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6"/>
        <v>213</v>
      </c>
      <c r="AL22" s="113">
        <f t="shared" si="7"/>
        <v>1704000000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69"/>
      <c r="L23" s="117"/>
      <c r="M23" s="169" t="s">
        <v>4329</v>
      </c>
      <c r="N23" s="113">
        <f t="shared" si="4"/>
        <v>4572436.8</v>
      </c>
      <c r="O23" s="99">
        <v>23952</v>
      </c>
      <c r="P23" s="99">
        <f>P44</f>
        <v>190.9</v>
      </c>
      <c r="Q23" s="170">
        <v>1450345</v>
      </c>
      <c r="R23" s="99" t="s">
        <v>4348</v>
      </c>
      <c r="S23" s="99">
        <f>S22-5</f>
        <v>9</v>
      </c>
      <c r="T23" s="99" t="s">
        <v>4355</v>
      </c>
      <c r="U23" s="99">
        <v>313.7</v>
      </c>
      <c r="V23" s="99">
        <f>U23*(1+$R$59+$Q$15*S23/36500)</f>
        <v>319.37925917808224</v>
      </c>
      <c r="X23" s="169" t="s">
        <v>180</v>
      </c>
      <c r="Y23" s="169" t="s">
        <v>4325</v>
      </c>
      <c r="Z23" s="113" t="s">
        <v>4332</v>
      </c>
      <c r="AA23" s="113" t="s">
        <v>938</v>
      </c>
      <c r="AB23" s="56"/>
      <c r="AC23" s="56" t="s">
        <v>942</v>
      </c>
      <c r="AD23" s="56" t="s">
        <v>4334</v>
      </c>
      <c r="AE23" s="169" t="s">
        <v>8</v>
      </c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6"/>
        <v>212</v>
      </c>
      <c r="AL23" s="113">
        <f t="shared" si="7"/>
        <v>-16865024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4422</v>
      </c>
      <c r="N24" s="113">
        <f t="shared" si="4"/>
        <v>106250</v>
      </c>
      <c r="O24" s="69">
        <v>125</v>
      </c>
      <c r="P24" s="99">
        <f>P40</f>
        <v>850</v>
      </c>
      <c r="Q24" s="170">
        <v>400069</v>
      </c>
      <c r="R24" s="99" t="s">
        <v>4356</v>
      </c>
      <c r="S24" s="99">
        <f>S23-1</f>
        <v>8</v>
      </c>
      <c r="T24" s="99" t="s">
        <v>4357</v>
      </c>
      <c r="U24" s="99">
        <v>314.8</v>
      </c>
      <c r="V24" s="99">
        <f t="shared" si="5"/>
        <v>320.25768328767128</v>
      </c>
      <c r="X24" s="169" t="s">
        <v>4321</v>
      </c>
      <c r="Y24" s="170">
        <v>42705000</v>
      </c>
      <c r="Z24" s="169" t="s">
        <v>1087</v>
      </c>
      <c r="AA24" s="169">
        <v>7.63</v>
      </c>
      <c r="AB24" s="169"/>
      <c r="AC24" s="113">
        <f>P15</f>
        <v>4400000</v>
      </c>
      <c r="AD24" s="113">
        <f>AA24*AC24</f>
        <v>33572000</v>
      </c>
      <c r="AE24" s="169" t="s">
        <v>4413</v>
      </c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6"/>
        <v>211</v>
      </c>
      <c r="AL24" s="113">
        <f t="shared" si="7"/>
        <v>34920500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4397</v>
      </c>
      <c r="N25" s="113">
        <v>-1084064</v>
      </c>
      <c r="O25" s="115"/>
      <c r="P25" s="115" t="s">
        <v>25</v>
      </c>
      <c r="Q25" s="170">
        <v>8690518</v>
      </c>
      <c r="R25" s="99" t="s">
        <v>4356</v>
      </c>
      <c r="S25" s="99">
        <f>S24</f>
        <v>8</v>
      </c>
      <c r="T25" s="99" t="s">
        <v>4358</v>
      </c>
      <c r="U25" s="99">
        <v>313</v>
      </c>
      <c r="V25" s="99">
        <f t="shared" si="5"/>
        <v>318.42647671232879</v>
      </c>
      <c r="X25" s="56" t="s">
        <v>4331</v>
      </c>
      <c r="Y25" s="170">
        <v>-4470930</v>
      </c>
      <c r="Z25" s="56" t="s">
        <v>4329</v>
      </c>
      <c r="AA25" s="169">
        <v>-23952</v>
      </c>
      <c r="AB25" s="169" t="s">
        <v>4333</v>
      </c>
      <c r="AC25" s="169">
        <f>P44</f>
        <v>190.9</v>
      </c>
      <c r="AD25" s="113">
        <f t="shared" ref="AD25:AD28" si="8">AA25*AC25</f>
        <v>-4572436.8</v>
      </c>
      <c r="AE25" s="169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6"/>
        <v>199</v>
      </c>
      <c r="AL25" s="113">
        <f t="shared" si="7"/>
        <v>-5737235073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 t="s">
        <v>25</v>
      </c>
      <c r="L26" s="117"/>
      <c r="M26" s="169" t="s">
        <v>756</v>
      </c>
      <c r="N26" s="113">
        <v>3000000</v>
      </c>
      <c r="O26" s="22"/>
      <c r="Q26" s="170">
        <v>3000094</v>
      </c>
      <c r="R26" s="99" t="s">
        <v>4356</v>
      </c>
      <c r="S26" s="99">
        <f>S25</f>
        <v>8</v>
      </c>
      <c r="T26" s="99" t="s">
        <v>4359</v>
      </c>
      <c r="U26" s="99">
        <v>141</v>
      </c>
      <c r="V26" s="99">
        <f t="shared" si="5"/>
        <v>143.44451506849316</v>
      </c>
      <c r="X26" s="113" t="s">
        <v>4331</v>
      </c>
      <c r="Y26" s="170">
        <v>-11344820</v>
      </c>
      <c r="Z26" s="56" t="s">
        <v>4335</v>
      </c>
      <c r="AA26" s="56">
        <v>-80808</v>
      </c>
      <c r="AB26" s="56" t="s">
        <v>4338</v>
      </c>
      <c r="AC26" s="169">
        <f>P45</f>
        <v>142.9</v>
      </c>
      <c r="AD26" s="113">
        <f>AA26*AC26</f>
        <v>-11547463.200000001</v>
      </c>
      <c r="AE26" s="169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6"/>
        <v>193</v>
      </c>
      <c r="AL26" s="113">
        <f t="shared" si="7"/>
        <v>3570500000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 t="s">
        <v>918</v>
      </c>
      <c r="L27" s="117">
        <v>4800000</v>
      </c>
      <c r="M27" s="169" t="s">
        <v>4158</v>
      </c>
      <c r="N27" s="113">
        <f>-1*L19</f>
        <v>-57146703</v>
      </c>
      <c r="P27" t="s">
        <v>25</v>
      </c>
      <c r="Q27" s="170">
        <v>106732</v>
      </c>
      <c r="R27" s="99" t="s">
        <v>4406</v>
      </c>
      <c r="S27" s="99">
        <f>S26-8</f>
        <v>0</v>
      </c>
      <c r="T27" s="99" t="s">
        <v>4423</v>
      </c>
      <c r="U27" s="99">
        <v>850</v>
      </c>
      <c r="V27" s="99">
        <f t="shared" si="5"/>
        <v>859.5200000000001</v>
      </c>
      <c r="X27" s="113" t="s">
        <v>4331</v>
      </c>
      <c r="Y27" s="170">
        <v>-18242759</v>
      </c>
      <c r="Z27" s="56" t="s">
        <v>4329</v>
      </c>
      <c r="AA27" s="56">
        <v>-45196</v>
      </c>
      <c r="AB27" s="56" t="s">
        <v>4338</v>
      </c>
      <c r="AC27" s="169">
        <f>P44</f>
        <v>190.9</v>
      </c>
      <c r="AD27" s="113">
        <f>AA27*AC27</f>
        <v>-8627916.4000000004</v>
      </c>
      <c r="AE27" s="169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6"/>
        <v>192</v>
      </c>
      <c r="AL27" s="113">
        <f t="shared" si="7"/>
        <v>-3561600000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929</v>
      </c>
      <c r="L28" s="117">
        <v>0</v>
      </c>
      <c r="M28" s="169" t="s">
        <v>753</v>
      </c>
      <c r="N28" s="113">
        <v>500000</v>
      </c>
      <c r="O28" t="s">
        <v>25</v>
      </c>
      <c r="P28" t="s">
        <v>25</v>
      </c>
      <c r="Q28" s="170"/>
      <c r="R28" s="99"/>
      <c r="S28" s="99"/>
      <c r="T28" s="99"/>
      <c r="U28" s="99"/>
      <c r="V28" s="99"/>
      <c r="X28" s="113" t="s">
        <v>4356</v>
      </c>
      <c r="Y28" s="170">
        <v>-8690518</v>
      </c>
      <c r="Z28" s="169" t="s">
        <v>4339</v>
      </c>
      <c r="AA28" s="169">
        <v>-27637</v>
      </c>
      <c r="AB28" s="169" t="s">
        <v>4333</v>
      </c>
      <c r="AC28" s="169">
        <f>P43</f>
        <v>310.5</v>
      </c>
      <c r="AD28" s="113">
        <f t="shared" si="8"/>
        <v>-8581288.5</v>
      </c>
      <c r="AE28" s="169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6"/>
        <v>191</v>
      </c>
      <c r="AL28" s="113">
        <f t="shared" si="7"/>
        <v>-12407551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1087</v>
      </c>
      <c r="L29" s="117">
        <f>65*P15</f>
        <v>286000000</v>
      </c>
      <c r="M29" s="169" t="s">
        <v>760</v>
      </c>
      <c r="N29" s="113">
        <v>1200000</v>
      </c>
      <c r="O29" t="s">
        <v>25</v>
      </c>
      <c r="P29" t="s">
        <v>25</v>
      </c>
      <c r="Q29" s="170">
        <f>SUM(N19:N24)-SUM(Q20:Q28)</f>
        <v>956351.50000000373</v>
      </c>
      <c r="R29" s="99"/>
      <c r="S29" s="99" t="s">
        <v>25</v>
      </c>
      <c r="T29" s="99"/>
      <c r="U29" s="99"/>
      <c r="V29" s="99"/>
      <c r="X29" s="113"/>
      <c r="Y29" s="56"/>
      <c r="Z29" s="169"/>
      <c r="AA29" s="169"/>
      <c r="AB29" s="169"/>
      <c r="AC29" s="169"/>
      <c r="AD29" s="113"/>
      <c r="AE29" s="169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6"/>
        <v>186</v>
      </c>
      <c r="AL29" s="113">
        <f t="shared" si="7"/>
        <v>1190400000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4156</v>
      </c>
      <c r="L30" s="117">
        <v>-50000000</v>
      </c>
      <c r="M30" s="73" t="s">
        <v>4323</v>
      </c>
      <c r="N30" s="113">
        <v>448308</v>
      </c>
      <c r="O30" s="22"/>
      <c r="P30" t="s">
        <v>25</v>
      </c>
      <c r="R30" s="115"/>
      <c r="S30" s="115"/>
      <c r="T30" s="115"/>
      <c r="U30" s="115"/>
      <c r="V30" s="115"/>
      <c r="X30" s="26"/>
      <c r="Y30" s="186"/>
      <c r="Z30" s="186"/>
      <c r="AA30" s="186"/>
      <c r="AB30" s="186"/>
      <c r="AC30" s="186"/>
      <c r="AD30" s="186"/>
      <c r="AE30" s="186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6"/>
        <v>185</v>
      </c>
      <c r="AL30" s="113">
        <f t="shared" si="7"/>
        <v>-31450000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4373</v>
      </c>
      <c r="L31" s="117">
        <v>-2985000</v>
      </c>
      <c r="M31" s="169" t="s">
        <v>1087</v>
      </c>
      <c r="N31" s="113">
        <f>65*P15</f>
        <v>286000000</v>
      </c>
      <c r="P31" t="s">
        <v>25</v>
      </c>
      <c r="R31" s="115"/>
      <c r="S31" s="115"/>
      <c r="T31" s="115"/>
      <c r="U31" s="115"/>
      <c r="V31" s="115"/>
      <c r="X31" s="26"/>
      <c r="Y31" s="186"/>
      <c r="Z31" s="186"/>
      <c r="AA31" s="186"/>
      <c r="AB31" s="186"/>
      <c r="AC31" s="186"/>
      <c r="AD31" s="42">
        <f>SUM(AD24:AD29)</f>
        <v>242895.09999999963</v>
      </c>
      <c r="AE31" s="186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180</v>
      </c>
      <c r="AL31" s="113">
        <f t="shared" si="7"/>
        <v>-1134000000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4387</v>
      </c>
      <c r="L32" s="117">
        <v>1000000</v>
      </c>
      <c r="M32" s="169" t="s">
        <v>4364</v>
      </c>
      <c r="N32" s="113">
        <v>-20000000</v>
      </c>
      <c r="Q32" t="s">
        <v>25</v>
      </c>
      <c r="S32" s="26" t="s">
        <v>25</v>
      </c>
      <c r="T32" t="s">
        <v>25</v>
      </c>
      <c r="V32" s="115"/>
      <c r="X32" s="41"/>
      <c r="Y32" s="186"/>
      <c r="Z32" s="186"/>
      <c r="AA32" s="186"/>
      <c r="AB32" s="186"/>
      <c r="AC32" s="186"/>
      <c r="AD32" s="186" t="s">
        <v>945</v>
      </c>
      <c r="AE32" s="186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6"/>
        <v>179</v>
      </c>
      <c r="AL32" s="113">
        <f t="shared" si="7"/>
        <v>-9310685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/>
      <c r="L33" s="117"/>
      <c r="M33" s="169" t="s">
        <v>4396</v>
      </c>
      <c r="N33" s="113">
        <v>-50000000</v>
      </c>
      <c r="O33" s="96"/>
      <c r="P33" s="96"/>
      <c r="X33" s="115"/>
      <c r="Y33" s="115"/>
      <c r="Z33" s="115"/>
      <c r="AA33" s="115"/>
      <c r="AB33" s="115"/>
      <c r="AC33" s="115"/>
      <c r="AD33" s="115"/>
      <c r="AE33" s="115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6"/>
        <v>163</v>
      </c>
      <c r="AL33" s="113">
        <f t="shared" si="7"/>
        <v>3262836200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99"/>
      <c r="L34" s="99"/>
      <c r="M34" s="169" t="s">
        <v>4387</v>
      </c>
      <c r="N34" s="113">
        <v>1000000</v>
      </c>
      <c r="O34" s="96"/>
      <c r="P34" s="96"/>
      <c r="X34" s="115"/>
      <c r="Y34" s="115"/>
      <c r="Z34" s="115"/>
      <c r="AA34" s="115"/>
      <c r="AB34" s="115"/>
      <c r="AC34" s="115"/>
      <c r="AD34" s="115"/>
      <c r="AE34" s="115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6"/>
        <v>163</v>
      </c>
      <c r="AL34" s="113">
        <f t="shared" si="7"/>
        <v>165357958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99"/>
      <c r="L35" s="99"/>
      <c r="M35" s="169" t="s">
        <v>3892</v>
      </c>
      <c r="N35" s="113">
        <v>456081</v>
      </c>
      <c r="O35" s="99" t="s">
        <v>938</v>
      </c>
      <c r="P35" s="99" t="s">
        <v>3933</v>
      </c>
      <c r="X35" s="115"/>
      <c r="Y35" s="115"/>
      <c r="Z35" s="115"/>
      <c r="AA35" s="115"/>
      <c r="AB35" s="115"/>
      <c r="AC35" s="115"/>
      <c r="AD35" s="115"/>
      <c r="AE35" s="115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6"/>
        <v>151</v>
      </c>
      <c r="AL35" s="113">
        <f t="shared" si="7"/>
        <v>54360000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 ht="30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56"/>
      <c r="L36" s="117"/>
      <c r="M36" s="169"/>
      <c r="N36" s="113"/>
      <c r="O36" s="99"/>
      <c r="P36" s="99"/>
      <c r="Q36" s="73" t="s">
        <v>4338</v>
      </c>
      <c r="R36" s="112"/>
      <c r="S36" s="112"/>
      <c r="T36" s="112"/>
      <c r="U36" s="169" t="s">
        <v>4425</v>
      </c>
      <c r="V36" s="36" t="s">
        <v>4427</v>
      </c>
      <c r="X36" s="115" t="s">
        <v>25</v>
      </c>
      <c r="Y36" s="115"/>
      <c r="Z36" s="115"/>
      <c r="AA36" s="115"/>
      <c r="AB36" s="115"/>
      <c r="AC36" s="115"/>
      <c r="AD36" s="115"/>
      <c r="AE36" s="115"/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6"/>
        <v>149</v>
      </c>
      <c r="AL36" s="113">
        <f t="shared" si="7"/>
        <v>-52150000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56"/>
      <c r="L37" s="117"/>
      <c r="M37" s="32"/>
      <c r="N37" s="113"/>
      <c r="O37" s="99"/>
      <c r="P37" s="99"/>
      <c r="Q37" s="112" t="s">
        <v>267</v>
      </c>
      <c r="R37" s="112" t="s">
        <v>180</v>
      </c>
      <c r="S37" s="112" t="s">
        <v>183</v>
      </c>
      <c r="T37" s="112" t="s">
        <v>8</v>
      </c>
      <c r="U37" s="169"/>
      <c r="V37" s="99"/>
      <c r="W37"/>
      <c r="X37" s="115"/>
      <c r="Y37" s="115"/>
      <c r="Z37" s="115"/>
      <c r="AA37" s="115"/>
      <c r="AB37" s="115"/>
      <c r="AC37" s="115"/>
      <c r="AD37" s="115"/>
      <c r="AE37" s="115"/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6"/>
        <v>149</v>
      </c>
      <c r="AL37" s="113">
        <f t="shared" si="7"/>
        <v>149000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56"/>
      <c r="L38" s="117"/>
      <c r="M38" s="169" t="s">
        <v>4188</v>
      </c>
      <c r="N38" s="113">
        <f t="shared" ref="N38:N45" si="12">O38*P38</f>
        <v>215488039</v>
      </c>
      <c r="O38" s="99">
        <v>1015495</v>
      </c>
      <c r="P38" s="99">
        <v>212.2</v>
      </c>
      <c r="Q38" s="170">
        <v>184971545</v>
      </c>
      <c r="R38" s="169" t="s">
        <v>4181</v>
      </c>
      <c r="S38" s="169">
        <v>45</v>
      </c>
      <c r="T38" s="169" t="s">
        <v>4403</v>
      </c>
      <c r="U38" s="169">
        <v>192</v>
      </c>
      <c r="V38" s="99">
        <f>U38*(1+$R$59+$Q$15*S38/36500)</f>
        <v>200.77834520547947</v>
      </c>
      <c r="W38"/>
      <c r="X38" s="115"/>
      <c r="Y38" s="115"/>
      <c r="Z38" s="115"/>
      <c r="AA38" s="115"/>
      <c r="AB38" s="115"/>
      <c r="AC38" s="115"/>
      <c r="AD38" s="115"/>
      <c r="AE38" s="115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6"/>
        <v>148</v>
      </c>
      <c r="AL38" s="113">
        <f t="shared" si="7"/>
        <v>4974280000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56"/>
      <c r="L39" s="117"/>
      <c r="M39" s="99" t="s">
        <v>4270</v>
      </c>
      <c r="N39" s="113">
        <f t="shared" si="12"/>
        <v>4173125.1999999997</v>
      </c>
      <c r="O39" s="99">
        <v>19666</v>
      </c>
      <c r="P39" s="99">
        <f>P38</f>
        <v>212.2</v>
      </c>
      <c r="Q39" s="170">
        <v>3759803</v>
      </c>
      <c r="R39" s="169" t="s">
        <v>4271</v>
      </c>
      <c r="S39" s="169">
        <f>S38-21</f>
        <v>24</v>
      </c>
      <c r="T39" s="169" t="s">
        <v>4280</v>
      </c>
      <c r="U39" s="169">
        <v>190.3</v>
      </c>
      <c r="V39" s="99">
        <f t="shared" ref="V39:V46" si="13">U39*(1+$R$59+$Q$15*S39/36500)</f>
        <v>195.93496547945207</v>
      </c>
      <c r="W39" t="s">
        <v>25</v>
      </c>
      <c r="X39" s="115"/>
      <c r="Y39" s="115"/>
      <c r="Z39" s="115"/>
      <c r="AA39" s="115"/>
      <c r="AB39" s="115"/>
      <c r="AC39" s="115"/>
      <c r="AD39" s="115"/>
      <c r="AE39" s="115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6"/>
        <v>144</v>
      </c>
      <c r="AL39" s="113">
        <f t="shared" si="7"/>
        <v>-2246400000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56"/>
      <c r="L40" s="117"/>
      <c r="M40" s="99" t="s">
        <v>4422</v>
      </c>
      <c r="N40" s="113">
        <f t="shared" si="12"/>
        <v>107100</v>
      </c>
      <c r="O40" s="99">
        <v>126</v>
      </c>
      <c r="P40" s="99">
        <v>850</v>
      </c>
      <c r="Q40" s="170">
        <v>54501</v>
      </c>
      <c r="R40" s="169" t="s">
        <v>4289</v>
      </c>
      <c r="S40" s="169">
        <f>S39-4</f>
        <v>20</v>
      </c>
      <c r="T40" s="169" t="s">
        <v>4288</v>
      </c>
      <c r="U40" s="169">
        <v>350</v>
      </c>
      <c r="V40" s="99">
        <f t="shared" si="13"/>
        <v>359.28986301369866</v>
      </c>
      <c r="X40" s="115"/>
      <c r="Y40" s="115"/>
      <c r="Z40" s="115"/>
      <c r="AA40" s="115"/>
      <c r="AB40" s="115" t="s">
        <v>25</v>
      </c>
      <c r="AC40" s="115"/>
      <c r="AD40" s="115"/>
      <c r="AE40" s="115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6"/>
        <v>141</v>
      </c>
      <c r="AL40" s="113">
        <f t="shared" si="7"/>
        <v>1057500000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56"/>
      <c r="L41" s="117"/>
      <c r="M41" s="99" t="s">
        <v>4290</v>
      </c>
      <c r="N41" s="113">
        <f t="shared" si="12"/>
        <v>98828</v>
      </c>
      <c r="O41" s="185">
        <v>155</v>
      </c>
      <c r="P41" s="99">
        <v>637.6</v>
      </c>
      <c r="Q41" s="170">
        <v>11344820</v>
      </c>
      <c r="R41" s="169" t="s">
        <v>4331</v>
      </c>
      <c r="S41" s="169">
        <f>S40-6</f>
        <v>14</v>
      </c>
      <c r="T41" s="169" t="s">
        <v>4336</v>
      </c>
      <c r="U41" s="169">
        <v>139.5</v>
      </c>
      <c r="V41" s="99">
        <f t="shared" si="13"/>
        <v>142.56059178082194</v>
      </c>
      <c r="W41"/>
      <c r="AC41" t="s">
        <v>25</v>
      </c>
      <c r="AD41" t="s">
        <v>25</v>
      </c>
      <c r="AE41" s="115"/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6"/>
        <v>137</v>
      </c>
      <c r="AL41" s="113">
        <f t="shared" si="7"/>
        <v>-13426000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56"/>
      <c r="L42" s="117"/>
      <c r="M42" s="99" t="s">
        <v>965</v>
      </c>
      <c r="N42" s="113">
        <f t="shared" si="12"/>
        <v>0</v>
      </c>
      <c r="O42" s="69">
        <v>0</v>
      </c>
      <c r="P42" s="69">
        <v>80731</v>
      </c>
      <c r="Q42" s="170">
        <v>9957469</v>
      </c>
      <c r="R42" s="169" t="s">
        <v>4331</v>
      </c>
      <c r="S42" s="169">
        <f>S41</f>
        <v>14</v>
      </c>
      <c r="T42" s="169" t="s">
        <v>4404</v>
      </c>
      <c r="U42" s="169">
        <v>185.7</v>
      </c>
      <c r="V42" s="99">
        <f t="shared" si="13"/>
        <v>189.77420712328771</v>
      </c>
      <c r="W42"/>
      <c r="AA42" s="96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6"/>
        <v>136</v>
      </c>
      <c r="AL42" s="113">
        <f t="shared" si="7"/>
        <v>-3536000000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99"/>
      <c r="L43" s="99"/>
      <c r="M43" s="99" t="s">
        <v>4339</v>
      </c>
      <c r="N43" s="113">
        <f t="shared" si="12"/>
        <v>0</v>
      </c>
      <c r="O43" s="69">
        <v>0</v>
      </c>
      <c r="P43" s="69">
        <v>310.5</v>
      </c>
      <c r="Q43" s="170">
        <v>9560464</v>
      </c>
      <c r="R43" s="169" t="s">
        <v>4342</v>
      </c>
      <c r="S43" s="169">
        <f>S42-1</f>
        <v>13</v>
      </c>
      <c r="T43" s="169" t="s">
        <v>4362</v>
      </c>
      <c r="U43" s="169">
        <v>214.57</v>
      </c>
      <c r="V43" s="99">
        <f t="shared" si="13"/>
        <v>219.11300536986303</v>
      </c>
      <c r="W43"/>
      <c r="AA43" s="96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6"/>
        <v>136</v>
      </c>
      <c r="AL43" s="113">
        <f t="shared" si="7"/>
        <v>3400000000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99"/>
      <c r="L44" s="99"/>
      <c r="M44" s="99" t="s">
        <v>4329</v>
      </c>
      <c r="N44" s="113">
        <f t="shared" si="12"/>
        <v>10188714.800000001</v>
      </c>
      <c r="O44" s="69">
        <v>53372</v>
      </c>
      <c r="P44" s="69">
        <v>190.9</v>
      </c>
      <c r="Q44" s="170">
        <v>10877284</v>
      </c>
      <c r="R44" s="169" t="s">
        <v>4356</v>
      </c>
      <c r="S44" s="169">
        <f>S43-5</f>
        <v>8</v>
      </c>
      <c r="T44" s="169" t="s">
        <v>4363</v>
      </c>
      <c r="U44" s="169">
        <v>141.69999999999999</v>
      </c>
      <c r="V44" s="99">
        <f t="shared" si="13"/>
        <v>144.15665095890409</v>
      </c>
      <c r="W44"/>
      <c r="AA44" s="96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6"/>
        <v>135</v>
      </c>
      <c r="AL44" s="113">
        <f t="shared" si="7"/>
        <v>14850000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99"/>
      <c r="L45" s="99"/>
      <c r="M45" s="99" t="s">
        <v>4335</v>
      </c>
      <c r="N45" s="117">
        <f t="shared" si="12"/>
        <v>22457020.800000001</v>
      </c>
      <c r="O45" s="69">
        <v>157152</v>
      </c>
      <c r="P45" s="69">
        <v>142.9</v>
      </c>
      <c r="Q45" s="170">
        <v>2000000</v>
      </c>
      <c r="R45" s="169" t="s">
        <v>4398</v>
      </c>
      <c r="S45" s="169">
        <f>S44-6</f>
        <v>2</v>
      </c>
      <c r="T45" s="169" t="s">
        <v>4402</v>
      </c>
      <c r="U45" s="169">
        <v>206.8</v>
      </c>
      <c r="V45" s="99">
        <f t="shared" si="13"/>
        <v>209.43344219178087</v>
      </c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6"/>
        <v>134</v>
      </c>
      <c r="AL45" s="113">
        <f t="shared" si="7"/>
        <v>50920000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99"/>
      <c r="L46" s="99"/>
      <c r="M46" s="73"/>
      <c r="N46" s="117"/>
      <c r="O46" s="96" t="s">
        <v>25</v>
      </c>
      <c r="Q46" s="170">
        <v>107586</v>
      </c>
      <c r="R46" s="169" t="s">
        <v>4406</v>
      </c>
      <c r="S46" s="169">
        <f>S45-2</f>
        <v>0</v>
      </c>
      <c r="T46" s="169" t="s">
        <v>4421</v>
      </c>
      <c r="U46" s="169">
        <v>850</v>
      </c>
      <c r="V46" s="99">
        <f t="shared" si="13"/>
        <v>859.5200000000001</v>
      </c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6"/>
        <v>127</v>
      </c>
      <c r="AL46" s="113">
        <f t="shared" si="7"/>
        <v>57150000</v>
      </c>
      <c r="AM46" s="99"/>
    </row>
    <row r="47" spans="1:53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99"/>
      <c r="M47" s="169" t="s">
        <v>1155</v>
      </c>
      <c r="N47" s="117">
        <v>14908</v>
      </c>
      <c r="O47" s="96" t="s">
        <v>25</v>
      </c>
      <c r="P47" t="s">
        <v>25</v>
      </c>
      <c r="Q47" s="170"/>
      <c r="R47" s="169"/>
      <c r="S47" s="169"/>
      <c r="T47" s="169"/>
      <c r="U47" s="169"/>
      <c r="V47" s="99"/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6"/>
        <v>121</v>
      </c>
      <c r="AL47" s="113">
        <f t="shared" si="7"/>
        <v>338800000</v>
      </c>
      <c r="AM47" s="99"/>
    </row>
    <row r="48" spans="1:53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/>
      <c r="L48" s="99"/>
      <c r="M48" s="169" t="s">
        <v>1156</v>
      </c>
      <c r="N48" s="117">
        <v>5282</v>
      </c>
      <c r="O48" s="96"/>
      <c r="Q48" s="113">
        <f>SUM(N37:N45)-SUM(Q38:Q46)</f>
        <v>19879355.800000012</v>
      </c>
      <c r="R48" s="112"/>
      <c r="S48" s="112"/>
      <c r="T48" s="112"/>
      <c r="U48" s="169"/>
      <c r="V48" s="99" t="s">
        <v>25</v>
      </c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6"/>
        <v>120</v>
      </c>
      <c r="AL48" s="113">
        <f t="shared" si="7"/>
        <v>-180000000</v>
      </c>
      <c r="AM48" s="99"/>
    </row>
    <row r="49" spans="1:39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169"/>
      <c r="L49" s="117"/>
      <c r="M49" s="169"/>
      <c r="N49" s="113"/>
      <c r="O49" s="115"/>
      <c r="P49" s="115"/>
      <c r="Q49" s="26"/>
      <c r="R49" s="186"/>
      <c r="S49" s="186"/>
      <c r="T49" t="s">
        <v>25</v>
      </c>
      <c r="V49" s="96"/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120</v>
      </c>
      <c r="AL49" s="113">
        <f t="shared" si="7"/>
        <v>366000000</v>
      </c>
      <c r="AM49" s="99"/>
    </row>
    <row r="50" spans="1:39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169" t="s">
        <v>25</v>
      </c>
      <c r="L50" s="117"/>
      <c r="M50" s="169" t="s">
        <v>4189</v>
      </c>
      <c r="N50" s="113">
        <f>-O50*P50</f>
        <v>-17564430.599999998</v>
      </c>
      <c r="O50" s="99">
        <v>82773</v>
      </c>
      <c r="P50" s="99">
        <f>P38</f>
        <v>212.2</v>
      </c>
      <c r="R50" t="s">
        <v>25</v>
      </c>
      <c r="T50" t="s">
        <v>25</v>
      </c>
      <c r="V50" s="96"/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6"/>
        <v>117</v>
      </c>
      <c r="AL50" s="113">
        <f t="shared" si="7"/>
        <v>-971054604</v>
      </c>
      <c r="AM50" s="99"/>
    </row>
    <row r="51" spans="1:39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169"/>
      <c r="L51" s="117"/>
      <c r="M51" s="169"/>
      <c r="N51" s="113"/>
      <c r="O51" s="96"/>
      <c r="P51" s="96"/>
      <c r="Q51" t="s">
        <v>25</v>
      </c>
      <c r="R51" t="s">
        <v>25</v>
      </c>
      <c r="T51" t="s">
        <v>25</v>
      </c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6"/>
        <v>115</v>
      </c>
      <c r="AL51" s="113">
        <f t="shared" si="7"/>
        <v>575000000</v>
      </c>
      <c r="AM51" s="99"/>
    </row>
    <row r="52" spans="1:39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169" t="s">
        <v>598</v>
      </c>
      <c r="L52" s="113">
        <f>SUM(L16:L43)</f>
        <v>297124905</v>
      </c>
      <c r="M52" s="169"/>
      <c r="N52" s="113">
        <f>SUM(N16:N51)</f>
        <v>419882965.69999999</v>
      </c>
      <c r="O52" t="s">
        <v>25</v>
      </c>
      <c r="Q52" t="s">
        <v>25</v>
      </c>
      <c r="S52" t="s">
        <v>25</v>
      </c>
      <c r="X52" s="99" t="s">
        <v>4253</v>
      </c>
      <c r="Y52" s="99">
        <v>218</v>
      </c>
      <c r="Z52" s="99">
        <v>10000</v>
      </c>
      <c r="AA52" s="99" t="s">
        <v>61</v>
      </c>
      <c r="AB52" s="99">
        <v>224.5</v>
      </c>
      <c r="AC52" s="99" t="s">
        <v>4343</v>
      </c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6"/>
        <v>101</v>
      </c>
      <c r="AL52" s="113">
        <f t="shared" si="7"/>
        <v>-9090000</v>
      </c>
      <c r="AM52" s="99"/>
    </row>
    <row r="53" spans="1:39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169" t="s">
        <v>599</v>
      </c>
      <c r="L53" s="113">
        <f>L16+L17+L22</f>
        <v>163202</v>
      </c>
      <c r="M53" s="169"/>
      <c r="N53" s="113">
        <f>N16+N17+N28</f>
        <v>-7393466</v>
      </c>
      <c r="Q53" s="96">
        <f>O38+O39+O19-O50</f>
        <v>1000416</v>
      </c>
      <c r="R53" s="113">
        <f>Q53*P38</f>
        <v>212288275.19999999</v>
      </c>
      <c r="S53" t="s">
        <v>25</v>
      </c>
      <c r="V53" t="s">
        <v>25</v>
      </c>
      <c r="X53" s="99" t="s">
        <v>4253</v>
      </c>
      <c r="Y53" s="99">
        <v>216.1</v>
      </c>
      <c r="Z53" s="99">
        <v>10000</v>
      </c>
      <c r="AA53" s="99" t="s">
        <v>61</v>
      </c>
      <c r="AB53" s="99">
        <v>222.5</v>
      </c>
      <c r="AC53" s="99" t="s">
        <v>4343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6"/>
        <v>100</v>
      </c>
      <c r="AL53" s="113">
        <f t="shared" si="7"/>
        <v>560000000</v>
      </c>
      <c r="AM53" s="99"/>
    </row>
    <row r="54" spans="1:39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56" t="s">
        <v>716</v>
      </c>
      <c r="L54" s="1">
        <f>L52+N7</f>
        <v>367124905</v>
      </c>
      <c r="M54" s="113"/>
      <c r="N54" s="169"/>
      <c r="O54" s="22"/>
      <c r="Q54" t="s">
        <v>4286</v>
      </c>
      <c r="R54" t="s">
        <v>4283</v>
      </c>
      <c r="X54" s="99" t="s">
        <v>4253</v>
      </c>
      <c r="Y54" s="99">
        <v>215</v>
      </c>
      <c r="Z54" s="99">
        <v>24349</v>
      </c>
      <c r="AA54" s="99" t="s">
        <v>1020</v>
      </c>
      <c r="AB54" s="99">
        <v>221.5</v>
      </c>
      <c r="AC54" s="99" t="s">
        <v>4343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6"/>
        <v>96</v>
      </c>
      <c r="AL54" s="113">
        <f t="shared" si="7"/>
        <v>72000000</v>
      </c>
      <c r="AM54" s="99"/>
    </row>
    <row r="55" spans="1:39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M55" t="s">
        <v>4314</v>
      </c>
      <c r="R55" t="s">
        <v>25</v>
      </c>
      <c r="X55" s="99" t="s">
        <v>4253</v>
      </c>
      <c r="Y55" s="99">
        <v>207</v>
      </c>
      <c r="Z55" s="99">
        <v>9625</v>
      </c>
      <c r="AA55" s="99" t="s">
        <v>61</v>
      </c>
      <c r="AB55" s="99">
        <v>215</v>
      </c>
      <c r="AC55" s="99" t="s">
        <v>4343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6"/>
        <v>94</v>
      </c>
      <c r="AL55" s="171">
        <f t="shared" si="7"/>
        <v>-398748000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M56" s="25" t="s">
        <v>4117</v>
      </c>
      <c r="O56" t="s">
        <v>25</v>
      </c>
      <c r="X56" s="99"/>
      <c r="Y56" s="169"/>
      <c r="Z56" s="169"/>
      <c r="AA56" s="99"/>
      <c r="AB56" s="99"/>
      <c r="AC56" s="99"/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6"/>
        <v>92</v>
      </c>
      <c r="AL56" s="113">
        <f t="shared" si="7"/>
        <v>377200000</v>
      </c>
      <c r="AM56" s="99"/>
    </row>
    <row r="57" spans="1:39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M57" s="25" t="s">
        <v>4085</v>
      </c>
      <c r="Q57" t="s">
        <v>950</v>
      </c>
      <c r="R57">
        <v>6.3E-3</v>
      </c>
      <c r="T57" t="s">
        <v>25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6"/>
        <v>92</v>
      </c>
      <c r="AL57" s="113">
        <f t="shared" si="7"/>
        <v>377200000</v>
      </c>
      <c r="AM57" s="99"/>
    </row>
    <row r="58" spans="1:39" ht="30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M58" s="178" t="s">
        <v>4121</v>
      </c>
      <c r="Q58" t="s">
        <v>61</v>
      </c>
      <c r="R58">
        <v>4.8999999999999998E-3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6"/>
        <v>91</v>
      </c>
      <c r="AL58" s="113">
        <f t="shared" si="7"/>
        <v>71890000</v>
      </c>
      <c r="AM58" s="99"/>
    </row>
    <row r="59" spans="1:39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K59" s="3"/>
      <c r="L59" s="11" t="s">
        <v>304</v>
      </c>
      <c r="M59" s="122"/>
      <c r="N59" s="96"/>
      <c r="P59" s="115"/>
      <c r="Q59" t="s">
        <v>6</v>
      </c>
      <c r="R59">
        <f>R57+R58</f>
        <v>1.12E-2</v>
      </c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6"/>
        <v>76</v>
      </c>
      <c r="AL59" s="173">
        <f t="shared" si="7"/>
        <v>-293740000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K60" s="1" t="s">
        <v>305</v>
      </c>
      <c r="L60" s="1">
        <v>70000</v>
      </c>
      <c r="M60" s="122" t="s">
        <v>4315</v>
      </c>
      <c r="N60" s="96" t="s">
        <v>25</v>
      </c>
      <c r="P60" s="115"/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6"/>
        <v>70</v>
      </c>
      <c r="AL60" s="113">
        <f t="shared" si="7"/>
        <v>1316000000</v>
      </c>
      <c r="AM60" s="20"/>
    </row>
    <row r="61" spans="1:39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K61" s="1" t="s">
        <v>321</v>
      </c>
      <c r="L61" s="1">
        <v>100000</v>
      </c>
      <c r="M61" s="122" t="s">
        <v>4316</v>
      </c>
      <c r="P61" s="115"/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6"/>
        <v>67</v>
      </c>
      <c r="AL61" s="113">
        <f t="shared" si="7"/>
        <v>33500000</v>
      </c>
      <c r="AM61" s="20"/>
    </row>
    <row r="62" spans="1:39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K62" s="1" t="s">
        <v>306</v>
      </c>
      <c r="L62" s="1">
        <v>80000</v>
      </c>
      <c r="M62" s="122" t="s">
        <v>4317</v>
      </c>
      <c r="P62" s="115"/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66</v>
      </c>
      <c r="AL62" s="113">
        <f t="shared" si="7"/>
        <v>13200000</v>
      </c>
      <c r="AM62" s="20"/>
    </row>
    <row r="63" spans="1:39">
      <c r="E63" s="26"/>
      <c r="K63" s="31" t="s">
        <v>307</v>
      </c>
      <c r="L63" s="1">
        <v>150000</v>
      </c>
      <c r="M63" s="122" t="s">
        <v>4318</v>
      </c>
      <c r="P63" s="115"/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6"/>
        <v>63</v>
      </c>
      <c r="AL63" s="113">
        <f t="shared" si="7"/>
        <v>63000000</v>
      </c>
      <c r="AM63" s="20"/>
    </row>
    <row r="64" spans="1:39">
      <c r="E64" s="26"/>
      <c r="K64" s="31" t="s">
        <v>308</v>
      </c>
      <c r="L64" s="1">
        <v>300000</v>
      </c>
      <c r="M64" s="191" t="s">
        <v>4319</v>
      </c>
      <c r="P64" s="115"/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60</v>
      </c>
      <c r="AL64" s="113">
        <f t="shared" si="7"/>
        <v>78000000</v>
      </c>
      <c r="AM64" s="20"/>
    </row>
    <row r="65" spans="1:39">
      <c r="K65" s="31" t="s">
        <v>309</v>
      </c>
      <c r="L65" s="1">
        <v>100000</v>
      </c>
      <c r="M65" s="192" t="s">
        <v>4322</v>
      </c>
      <c r="P65" s="115"/>
      <c r="Q65" s="186"/>
      <c r="R65" s="186"/>
      <c r="S65" s="115"/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4">AK66+AJ65</f>
        <v>60</v>
      </c>
      <c r="AL65" s="113">
        <f t="shared" si="7"/>
        <v>59700000</v>
      </c>
      <c r="AM65" s="20"/>
    </row>
    <row r="66" spans="1:39">
      <c r="K66" s="31" t="s">
        <v>310</v>
      </c>
      <c r="L66" s="1">
        <v>200000</v>
      </c>
      <c r="M66" s="122" t="s">
        <v>4339</v>
      </c>
      <c r="P66" s="115"/>
      <c r="Q66" s="115"/>
      <c r="R66" s="115"/>
      <c r="S66" s="115"/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4"/>
        <v>58</v>
      </c>
      <c r="AL66" s="113">
        <f t="shared" si="7"/>
        <v>754000000</v>
      </c>
      <c r="AM66" s="20"/>
    </row>
    <row r="67" spans="1:39">
      <c r="A67" t="s">
        <v>25</v>
      </c>
      <c r="F67" t="s">
        <v>310</v>
      </c>
      <c r="G67" t="s">
        <v>4104</v>
      </c>
      <c r="K67" s="18" t="s">
        <v>311</v>
      </c>
      <c r="L67" s="18">
        <v>300000</v>
      </c>
      <c r="M67" s="96"/>
      <c r="P67" s="115"/>
      <c r="Q67" s="115"/>
      <c r="R67" s="115"/>
      <c r="S67" s="115"/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4"/>
        <v>56</v>
      </c>
      <c r="AL67" s="113">
        <f t="shared" si="7"/>
        <v>-173600000</v>
      </c>
      <c r="AM67" s="20"/>
    </row>
    <row r="68" spans="1:39">
      <c r="F68" t="s">
        <v>4108</v>
      </c>
      <c r="G68" t="s">
        <v>4103</v>
      </c>
      <c r="K68" s="32" t="s">
        <v>312</v>
      </c>
      <c r="L68" s="1">
        <v>200000</v>
      </c>
      <c r="M68" s="96"/>
      <c r="N68" s="96"/>
      <c r="O68" s="96"/>
      <c r="P68" s="115"/>
      <c r="Q68" s="115"/>
      <c r="R68" s="115"/>
      <c r="S68" s="115"/>
      <c r="X68" s="115"/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4"/>
        <v>53</v>
      </c>
      <c r="AL68" s="113">
        <f t="shared" si="7"/>
        <v>2418920000</v>
      </c>
      <c r="AM68" s="20"/>
    </row>
    <row r="69" spans="1:39">
      <c r="F69" t="s">
        <v>4109</v>
      </c>
      <c r="G69" t="s">
        <v>4105</v>
      </c>
      <c r="K69" s="32" t="s">
        <v>313</v>
      </c>
      <c r="L69" s="1">
        <v>20000</v>
      </c>
      <c r="M69" s="96"/>
      <c r="N69" s="96"/>
      <c r="O69" s="96"/>
      <c r="P69" s="115"/>
      <c r="Q69" s="115"/>
      <c r="R69" s="115"/>
      <c r="S69" s="115"/>
      <c r="X69" s="163"/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4"/>
        <v>52</v>
      </c>
      <c r="AL69" s="113">
        <f t="shared" si="7"/>
        <v>1742000000</v>
      </c>
      <c r="AM69" s="20"/>
    </row>
    <row r="70" spans="1:39">
      <c r="G70" t="s">
        <v>4106</v>
      </c>
      <c r="K70" s="32" t="s">
        <v>315</v>
      </c>
      <c r="L70" s="1">
        <v>50000</v>
      </c>
      <c r="M70" s="96"/>
      <c r="N70" s="96"/>
      <c r="O70" s="96"/>
      <c r="P70" s="115"/>
      <c r="Q70" s="115"/>
      <c r="R70" s="115"/>
      <c r="S70" s="115"/>
      <c r="X70" s="115"/>
      <c r="Y70" s="115"/>
      <c r="Z70" s="115"/>
      <c r="AA70" s="115"/>
      <c r="AB70" s="115"/>
      <c r="AC70" s="115"/>
      <c r="AD70" s="115"/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4"/>
        <v>51</v>
      </c>
      <c r="AL70" s="117">
        <f t="shared" si="7"/>
        <v>612000000</v>
      </c>
      <c r="AM70" s="20"/>
    </row>
    <row r="71" spans="1:39">
      <c r="G71" t="s">
        <v>4107</v>
      </c>
      <c r="K71" s="32" t="s">
        <v>316</v>
      </c>
      <c r="L71" s="1">
        <v>90000</v>
      </c>
      <c r="M71" s="96"/>
      <c r="N71" s="96"/>
      <c r="O71" s="96"/>
      <c r="P71" s="115"/>
      <c r="Q71" s="115"/>
      <c r="R71" s="115"/>
      <c r="S71" s="115"/>
      <c r="X71" s="115"/>
      <c r="Y71" s="128"/>
      <c r="Z71" s="115"/>
      <c r="AA71" s="115"/>
      <c r="AB71" s="115"/>
      <c r="AC71" s="128"/>
      <c r="AD71" s="115"/>
      <c r="AE71" s="115"/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4"/>
        <v>50</v>
      </c>
      <c r="AL71" s="117">
        <f t="shared" si="7"/>
        <v>775000000</v>
      </c>
      <c r="AM71" s="20"/>
    </row>
    <row r="72" spans="1:39">
      <c r="G72" t="s">
        <v>4111</v>
      </c>
      <c r="K72" s="32" t="s">
        <v>317</v>
      </c>
      <c r="L72" s="1">
        <v>50000</v>
      </c>
      <c r="M72" s="96"/>
      <c r="N72" s="96"/>
      <c r="O72" s="96"/>
      <c r="P72" s="115"/>
      <c r="Q72" s="115"/>
      <c r="R72" s="115"/>
      <c r="S72" s="115"/>
      <c r="X72" s="115"/>
      <c r="Y72" s="128"/>
      <c r="Z72" s="115"/>
      <c r="AA72" s="115"/>
      <c r="AB72" s="115"/>
      <c r="AC72" s="128"/>
      <c r="AD72" s="115"/>
      <c r="AE72" s="115"/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4"/>
        <v>46</v>
      </c>
      <c r="AL72" s="117">
        <f t="shared" si="7"/>
        <v>6900000</v>
      </c>
      <c r="AM72" s="20"/>
    </row>
    <row r="73" spans="1:39">
      <c r="G73" t="s">
        <v>4110</v>
      </c>
      <c r="K73" s="32" t="s">
        <v>327</v>
      </c>
      <c r="L73" s="1">
        <v>150000</v>
      </c>
      <c r="M73" s="96"/>
      <c r="N73" s="96"/>
      <c r="O73" s="96"/>
      <c r="P73" s="115"/>
      <c r="Q73" s="115"/>
      <c r="R73" s="115"/>
      <c r="S73" s="115"/>
      <c r="X73" s="115"/>
      <c r="Y73" s="128"/>
      <c r="Z73" s="115"/>
      <c r="AA73" s="115"/>
      <c r="AB73" s="115"/>
      <c r="AC73" s="128"/>
      <c r="AD73" s="115"/>
      <c r="AE73" s="115"/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4"/>
        <v>45</v>
      </c>
      <c r="AL73" s="182">
        <f t="shared" si="7"/>
        <v>1305000000</v>
      </c>
      <c r="AM73" s="181" t="s">
        <v>4195</v>
      </c>
    </row>
    <row r="74" spans="1:39">
      <c r="K74" s="32" t="s">
        <v>318</v>
      </c>
      <c r="L74" s="1">
        <v>15000</v>
      </c>
      <c r="N74" s="96"/>
      <c r="P74" s="115"/>
      <c r="Q74" s="115"/>
      <c r="R74" s="115"/>
      <c r="S74" s="115"/>
      <c r="X74" s="115"/>
      <c r="Y74" s="128"/>
      <c r="Z74" s="115"/>
      <c r="AA74" s="115"/>
      <c r="AB74" s="115"/>
      <c r="AC74" s="128"/>
      <c r="AD74" s="115"/>
      <c r="AE74" s="115"/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4"/>
        <v>30</v>
      </c>
      <c r="AL74" s="117">
        <f t="shared" si="7"/>
        <v>-3900000</v>
      </c>
      <c r="AM74" s="20" t="s">
        <v>4221</v>
      </c>
    </row>
    <row r="75" spans="1:39">
      <c r="K75" s="32" t="s">
        <v>319</v>
      </c>
      <c r="L75" s="1">
        <v>20000</v>
      </c>
      <c r="N75" s="96"/>
      <c r="P75" s="115"/>
      <c r="Q75" s="115"/>
      <c r="R75" s="115"/>
      <c r="S75" s="115"/>
      <c r="X75" s="115"/>
      <c r="Y75" s="128"/>
      <c r="Z75" s="115"/>
      <c r="AA75" s="115"/>
      <c r="AB75" s="115"/>
      <c r="AC75" s="128"/>
      <c r="AD75" s="115"/>
      <c r="AE75" s="115"/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4"/>
        <v>23</v>
      </c>
      <c r="AL75" s="117">
        <f>AI75*AK75</f>
        <v>5336000</v>
      </c>
      <c r="AM75" s="20" t="s">
        <v>4277</v>
      </c>
    </row>
    <row r="76" spans="1:39">
      <c r="K76" s="32" t="s">
        <v>320</v>
      </c>
      <c r="L76" s="1">
        <v>40000</v>
      </c>
      <c r="N76" s="96"/>
      <c r="P76" s="115"/>
      <c r="Q76" s="115"/>
      <c r="R76" s="115"/>
      <c r="S76" s="115"/>
      <c r="X76" s="115"/>
      <c r="Y76" s="128"/>
      <c r="Z76" s="115"/>
      <c r="AA76" s="115"/>
      <c r="AB76" s="115"/>
      <c r="AC76" s="128"/>
      <c r="AD76" s="115"/>
      <c r="AE76" s="115"/>
      <c r="AG76" s="20">
        <v>56</v>
      </c>
      <c r="AH76" s="117" t="s">
        <v>4289</v>
      </c>
      <c r="AI76" s="117">
        <v>-170000</v>
      </c>
      <c r="AJ76" s="20">
        <v>3</v>
      </c>
      <c r="AK76" s="99">
        <f t="shared" si="14"/>
        <v>21</v>
      </c>
      <c r="AL76" s="117">
        <f t="shared" si="7"/>
        <v>-3570000</v>
      </c>
      <c r="AM76" s="20"/>
    </row>
    <row r="77" spans="1:39">
      <c r="K77" s="32" t="s">
        <v>322</v>
      </c>
      <c r="L77" s="1">
        <v>150000</v>
      </c>
      <c r="N77" s="96"/>
      <c r="P77" s="115"/>
      <c r="Q77" s="115"/>
      <c r="R77" s="115"/>
      <c r="S77" s="115"/>
      <c r="X77" s="115"/>
      <c r="Y77" s="115"/>
      <c r="Z77" s="115"/>
      <c r="AA77" s="115"/>
      <c r="AB77" s="115"/>
      <c r="AC77" s="115"/>
      <c r="AD77" s="115"/>
      <c r="AE77" s="115"/>
      <c r="AG77" s="20">
        <v>57</v>
      </c>
      <c r="AH77" s="117" t="s">
        <v>4304</v>
      </c>
      <c r="AI77" s="117">
        <v>-300000</v>
      </c>
      <c r="AJ77" s="20">
        <v>3</v>
      </c>
      <c r="AK77" s="99">
        <f t="shared" si="14"/>
        <v>18</v>
      </c>
      <c r="AL77" s="117">
        <f t="shared" si="7"/>
        <v>-5400000</v>
      </c>
      <c r="AM77" s="20"/>
    </row>
    <row r="78" spans="1:39">
      <c r="K78" s="32" t="s">
        <v>324</v>
      </c>
      <c r="L78" s="1">
        <v>75000</v>
      </c>
      <c r="P78" s="115"/>
      <c r="Q78" s="115"/>
      <c r="R78" s="115"/>
      <c r="S78" s="115"/>
      <c r="T78" s="115"/>
      <c r="U78" s="115"/>
      <c r="X78" s="115"/>
      <c r="Y78" s="115"/>
      <c r="Z78" s="115"/>
      <c r="AA78" s="115"/>
      <c r="AB78" s="115"/>
      <c r="AC78" s="115"/>
      <c r="AD78" s="115"/>
      <c r="AE78" s="115"/>
      <c r="AG78" s="20">
        <v>58</v>
      </c>
      <c r="AH78" s="117" t="s">
        <v>4331</v>
      </c>
      <c r="AI78" s="117">
        <v>-11400000</v>
      </c>
      <c r="AJ78" s="20">
        <v>13</v>
      </c>
      <c r="AK78" s="99">
        <f t="shared" si="14"/>
        <v>15</v>
      </c>
      <c r="AL78" s="117">
        <f t="shared" si="7"/>
        <v>-171000000</v>
      </c>
      <c r="AM78" s="20"/>
    </row>
    <row r="79" spans="1:39">
      <c r="K79" s="32" t="s">
        <v>314</v>
      </c>
      <c r="L79" s="1">
        <v>140000</v>
      </c>
      <c r="P79" s="115"/>
      <c r="Q79" s="115"/>
      <c r="R79" s="115"/>
      <c r="S79" s="115"/>
      <c r="T79" s="115"/>
      <c r="U79" s="115"/>
      <c r="X79" s="115"/>
      <c r="Y79" s="115"/>
      <c r="Z79" s="115"/>
      <c r="AD79" s="115"/>
      <c r="AE79" s="115"/>
      <c r="AG79" s="20">
        <v>59</v>
      </c>
      <c r="AH79" s="117" t="s">
        <v>4405</v>
      </c>
      <c r="AI79" s="117">
        <v>-10000000</v>
      </c>
      <c r="AJ79" s="20">
        <v>1</v>
      </c>
      <c r="AK79" s="99">
        <f t="shared" si="14"/>
        <v>2</v>
      </c>
      <c r="AL79" s="117">
        <f t="shared" si="7"/>
        <v>-20000000</v>
      </c>
      <c r="AM79" s="20"/>
    </row>
    <row r="80" spans="1:39">
      <c r="K80" s="2" t="s">
        <v>478</v>
      </c>
      <c r="L80" s="3">
        <v>1083333</v>
      </c>
      <c r="P80" s="115"/>
      <c r="Q80" s="55"/>
      <c r="R80" s="187"/>
      <c r="S80" s="115"/>
      <c r="T80" s="115"/>
      <c r="U80" s="115"/>
      <c r="Y80" s="115"/>
      <c r="Z80" s="115"/>
      <c r="AD80" s="115"/>
      <c r="AE80" s="115"/>
      <c r="AG80" s="20">
        <v>60</v>
      </c>
      <c r="AH80" s="117" t="s">
        <v>4406</v>
      </c>
      <c r="AI80" s="117">
        <v>-2450000</v>
      </c>
      <c r="AJ80" s="20">
        <v>1</v>
      </c>
      <c r="AK80" s="99">
        <f t="shared" si="14"/>
        <v>1</v>
      </c>
      <c r="AL80" s="117">
        <f t="shared" si="7"/>
        <v>-2450000</v>
      </c>
      <c r="AM80" s="20"/>
    </row>
    <row r="81" spans="11:51">
      <c r="K81" s="2"/>
      <c r="L81" s="3"/>
      <c r="P81" s="128"/>
      <c r="Q81" s="55"/>
      <c r="R81" s="187"/>
      <c r="S81" s="115"/>
      <c r="T81" s="115"/>
      <c r="U81" s="115"/>
      <c r="Y81" s="115"/>
      <c r="Z81" s="115"/>
      <c r="AD81" s="115"/>
      <c r="AE81" s="115"/>
      <c r="AG81" s="20"/>
      <c r="AH81" s="117"/>
      <c r="AI81" s="117"/>
      <c r="AJ81" s="20"/>
      <c r="AK81" s="99">
        <f t="shared" si="14"/>
        <v>0</v>
      </c>
      <c r="AL81" s="117">
        <f t="shared" si="7"/>
        <v>0</v>
      </c>
      <c r="AM81" s="20"/>
    </row>
    <row r="82" spans="11:51">
      <c r="K82" s="2"/>
      <c r="L82" s="3"/>
      <c r="P82" s="128"/>
      <c r="Q82" s="26"/>
      <c r="R82" s="187"/>
      <c r="S82" s="115"/>
      <c r="AE82" s="115"/>
      <c r="AG82" s="20"/>
      <c r="AH82" s="117"/>
      <c r="AI82" s="117"/>
      <c r="AJ82" s="20"/>
      <c r="AK82" s="99">
        <f t="shared" si="14"/>
        <v>0</v>
      </c>
      <c r="AL82" s="117">
        <f t="shared" si="7"/>
        <v>0</v>
      </c>
      <c r="AM82" s="20"/>
      <c r="AN82" t="s">
        <v>25</v>
      </c>
      <c r="AQ82" t="s">
        <v>25</v>
      </c>
      <c r="AV82" t="s">
        <v>25</v>
      </c>
    </row>
    <row r="83" spans="11:51">
      <c r="K83" s="2" t="s">
        <v>6</v>
      </c>
      <c r="L83" s="3">
        <f>SUM(L60:L81)</f>
        <v>3383333</v>
      </c>
      <c r="P83" s="115"/>
      <c r="Q83" s="55"/>
      <c r="R83" s="187"/>
      <c r="S83" s="122"/>
      <c r="AG83" s="20"/>
      <c r="AH83" s="117"/>
      <c r="AI83" s="117"/>
      <c r="AJ83" s="20"/>
      <c r="AK83" s="99">
        <f t="shared" si="14"/>
        <v>0</v>
      </c>
      <c r="AL83" s="117">
        <f t="shared" si="7"/>
        <v>0</v>
      </c>
      <c r="AM83" s="20"/>
    </row>
    <row r="84" spans="11:51">
      <c r="K84" s="2" t="s">
        <v>328</v>
      </c>
      <c r="L84" s="3">
        <f>L83/30</f>
        <v>112777.76666666666</v>
      </c>
      <c r="Q84" s="55"/>
      <c r="R84" s="187"/>
      <c r="S84" s="115"/>
      <c r="AG84" s="20"/>
      <c r="AH84" s="117"/>
      <c r="AI84" s="117"/>
      <c r="AJ84" s="20"/>
      <c r="AK84" s="99">
        <f t="shared" si="14"/>
        <v>0</v>
      </c>
      <c r="AL84" s="117">
        <f t="shared" si="7"/>
        <v>0</v>
      </c>
      <c r="AM84" s="20"/>
      <c r="AY84" t="s">
        <v>25</v>
      </c>
    </row>
    <row r="85" spans="11:51">
      <c r="O85" s="115"/>
      <c r="Q85" s="122"/>
      <c r="R85" s="115"/>
      <c r="S85" s="115"/>
      <c r="AG85" s="20" t="s">
        <v>25</v>
      </c>
      <c r="AH85" s="117"/>
      <c r="AI85" s="117"/>
      <c r="AJ85" s="20"/>
      <c r="AK85" s="99">
        <f t="shared" si="14"/>
        <v>0</v>
      </c>
      <c r="AL85" s="117">
        <f t="shared" si="7"/>
        <v>0</v>
      </c>
      <c r="AM85" s="20"/>
      <c r="AU85" t="s">
        <v>25</v>
      </c>
    </row>
    <row r="86" spans="11:51">
      <c r="O86" s="115"/>
      <c r="AG86" s="20"/>
      <c r="AH86" s="117"/>
      <c r="AI86" s="117"/>
      <c r="AJ86" s="20"/>
      <c r="AK86" s="99">
        <f t="shared" si="14"/>
        <v>0</v>
      </c>
      <c r="AL86" s="117">
        <f t="shared" si="7"/>
        <v>0</v>
      </c>
      <c r="AM86" s="20"/>
    </row>
    <row r="87" spans="11:51">
      <c r="AG87" s="99"/>
      <c r="AH87" s="113"/>
      <c r="AI87" s="113"/>
      <c r="AJ87" s="99"/>
      <c r="AK87" s="99">
        <f t="shared" si="14"/>
        <v>0</v>
      </c>
      <c r="AL87" s="117">
        <f t="shared" si="7"/>
        <v>0</v>
      </c>
      <c r="AM87" s="99"/>
      <c r="AT87" s="96" t="s">
        <v>25</v>
      </c>
    </row>
    <row r="88" spans="11:51">
      <c r="Q88" s="22"/>
      <c r="AG88" s="99"/>
      <c r="AH88" s="113"/>
      <c r="AI88" s="113"/>
      <c r="AJ88" s="99"/>
      <c r="AK88" s="99">
        <f t="shared" si="14"/>
        <v>0</v>
      </c>
      <c r="AL88" s="117">
        <f t="shared" si="7"/>
        <v>0</v>
      </c>
      <c r="AM88" s="99"/>
      <c r="AT88" s="96" t="s">
        <v>25</v>
      </c>
    </row>
    <row r="89" spans="11:51">
      <c r="AG89" s="99"/>
      <c r="AH89" s="99"/>
      <c r="AI89" s="95">
        <f>SUM(AI20:AI87)</f>
        <v>198373899</v>
      </c>
      <c r="AJ89" s="99"/>
      <c r="AK89" s="99"/>
      <c r="AL89" s="95">
        <f>SUM(AL20:AL88)</f>
        <v>17279472721</v>
      </c>
      <c r="AM89" s="95">
        <f>AL89*AM92/31</f>
        <v>11148046.916774195</v>
      </c>
      <c r="AP89" t="s">
        <v>25</v>
      </c>
      <c r="AU89" t="s">
        <v>25</v>
      </c>
    </row>
    <row r="90" spans="11:51">
      <c r="K90" s="48" t="s">
        <v>788</v>
      </c>
      <c r="L90" s="48" t="s">
        <v>476</v>
      </c>
      <c r="AG90" s="99"/>
      <c r="AH90" s="99"/>
      <c r="AI90" s="99" t="s">
        <v>4064</v>
      </c>
      <c r="AJ90" s="99"/>
      <c r="AK90" s="99"/>
      <c r="AL90" s="99" t="s">
        <v>284</v>
      </c>
      <c r="AM90" s="99" t="s">
        <v>916</v>
      </c>
    </row>
    <row r="91" spans="11:51">
      <c r="K91" s="47">
        <v>700000</v>
      </c>
      <c r="L91" s="48" t="s">
        <v>1040</v>
      </c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K92" s="47">
        <v>500000</v>
      </c>
      <c r="L92" s="48" t="s">
        <v>479</v>
      </c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K93" s="47">
        <v>180000</v>
      </c>
      <c r="L93" s="48" t="s">
        <v>558</v>
      </c>
      <c r="AG93" s="99"/>
      <c r="AH93" s="99"/>
      <c r="AI93" s="99"/>
      <c r="AJ93" s="99"/>
      <c r="AK93" s="99"/>
      <c r="AL93" s="99"/>
      <c r="AM93" s="99"/>
    </row>
    <row r="94" spans="11:51">
      <c r="K94" s="47">
        <v>0</v>
      </c>
      <c r="L94" s="48" t="s">
        <v>784</v>
      </c>
      <c r="AG94" s="99"/>
      <c r="AH94" s="99" t="s">
        <v>4066</v>
      </c>
      <c r="AI94" s="95">
        <f>AI89+AM89</f>
        <v>209521945.91677418</v>
      </c>
      <c r="AJ94" s="99"/>
      <c r="AK94" s="99"/>
      <c r="AL94" s="99"/>
      <c r="AM94" s="99"/>
    </row>
    <row r="95" spans="11:51">
      <c r="K95" s="47">
        <v>0</v>
      </c>
      <c r="L95" s="48" t="s">
        <v>785</v>
      </c>
      <c r="AH95" t="s">
        <v>4069</v>
      </c>
      <c r="AI95" s="114">
        <f>SUM(N38:N45)-N39+N35</f>
        <v>248795783.60000002</v>
      </c>
    </row>
    <row r="96" spans="11:51">
      <c r="K96" s="47">
        <v>500000</v>
      </c>
      <c r="L96" s="48" t="s">
        <v>786</v>
      </c>
      <c r="AH96" t="s">
        <v>4143</v>
      </c>
      <c r="AI96" s="114">
        <f>AI95-AI89</f>
        <v>50421884.600000024</v>
      </c>
    </row>
    <row r="97" spans="8:39">
      <c r="K97" s="47">
        <v>75000</v>
      </c>
      <c r="L97" s="48" t="s">
        <v>787</v>
      </c>
      <c r="AH97" t="s">
        <v>944</v>
      </c>
      <c r="AI97" s="114">
        <f>AM89</f>
        <v>11148046.916774195</v>
      </c>
    </row>
    <row r="98" spans="8:39">
      <c r="H98" s="96"/>
      <c r="K98" s="47">
        <v>0</v>
      </c>
      <c r="L98" s="48" t="s">
        <v>789</v>
      </c>
      <c r="AH98" t="s">
        <v>4070</v>
      </c>
      <c r="AI98" s="114">
        <f>AI95-AI94</f>
        <v>39273837.68322584</v>
      </c>
    </row>
    <row r="99" spans="8:39">
      <c r="K99" s="47">
        <v>500000</v>
      </c>
      <c r="L99" s="48" t="s">
        <v>564</v>
      </c>
    </row>
    <row r="100" spans="8:39">
      <c r="K100" s="47">
        <v>50000</v>
      </c>
      <c r="L100" s="48" t="s">
        <v>792</v>
      </c>
      <c r="AI100" t="s">
        <v>25</v>
      </c>
    </row>
    <row r="101" spans="8:39">
      <c r="K101" s="47">
        <v>140000</v>
      </c>
      <c r="L101" s="48" t="s">
        <v>314</v>
      </c>
    </row>
    <row r="102" spans="8:39">
      <c r="K102" s="47"/>
      <c r="L102" s="48" t="s">
        <v>25</v>
      </c>
    </row>
    <row r="103" spans="8:39">
      <c r="K103" s="47">
        <f>SUM(K91:K102)</f>
        <v>2645000</v>
      </c>
      <c r="L103" s="48" t="s">
        <v>6</v>
      </c>
    </row>
    <row r="105" spans="8:39"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4333</v>
      </c>
    </row>
    <row r="106" spans="8:39"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110</v>
      </c>
      <c r="AL106" s="99">
        <f>AI106*AK106</f>
        <v>391140200</v>
      </c>
      <c r="AM106" s="99" t="s">
        <v>4365</v>
      </c>
    </row>
    <row r="107" spans="8:39"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0" si="15">AJ107+AK108</f>
        <v>108</v>
      </c>
      <c r="AL107" s="99">
        <f t="shared" ref="AL107:AL119" si="16">AI107*AK107</f>
        <v>185850396</v>
      </c>
      <c r="AM107" s="99" t="s">
        <v>4366</v>
      </c>
    </row>
    <row r="108" spans="8:39"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5"/>
        <v>57</v>
      </c>
      <c r="AL108" s="99">
        <f t="shared" si="16"/>
        <v>8550000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5"/>
        <v>54</v>
      </c>
      <c r="AL109" s="99">
        <f t="shared" si="16"/>
        <v>-5130000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5"/>
        <v>46</v>
      </c>
      <c r="AL110" s="99">
        <f t="shared" si="16"/>
        <v>144900000</v>
      </c>
      <c r="AM110" s="99"/>
    </row>
    <row r="111" spans="8:39"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5"/>
        <v>30</v>
      </c>
      <c r="AL111" s="99">
        <f t="shared" si="16"/>
        <v>-1950000</v>
      </c>
      <c r="AM111" s="99"/>
    </row>
    <row r="112" spans="8:39">
      <c r="AG112" s="99">
        <v>7</v>
      </c>
      <c r="AH112" s="99" t="s">
        <v>4367</v>
      </c>
      <c r="AI112" s="117">
        <v>-95000</v>
      </c>
      <c r="AJ112" s="99">
        <v>6</v>
      </c>
      <c r="AK112" s="99">
        <f t="shared" si="15"/>
        <v>29</v>
      </c>
      <c r="AL112" s="99">
        <f t="shared" si="16"/>
        <v>-2755000</v>
      </c>
      <c r="AM112" s="99"/>
    </row>
    <row r="113" spans="33:39">
      <c r="AG113" s="99">
        <v>8</v>
      </c>
      <c r="AH113" s="99" t="s">
        <v>4368</v>
      </c>
      <c r="AI113" s="117">
        <v>232000</v>
      </c>
      <c r="AJ113" s="99">
        <v>7</v>
      </c>
      <c r="AK113" s="99">
        <f t="shared" si="15"/>
        <v>23</v>
      </c>
      <c r="AL113" s="99">
        <f t="shared" si="16"/>
        <v>5336000</v>
      </c>
      <c r="AM113" s="99"/>
    </row>
    <row r="114" spans="33:39">
      <c r="AG114" s="99">
        <v>9</v>
      </c>
      <c r="AH114" s="99" t="s">
        <v>4331</v>
      </c>
      <c r="AI114" s="117">
        <v>13000000</v>
      </c>
      <c r="AJ114" s="99">
        <v>2</v>
      </c>
      <c r="AK114" s="99">
        <f t="shared" si="15"/>
        <v>16</v>
      </c>
      <c r="AL114" s="99">
        <f t="shared" si="16"/>
        <v>208000000</v>
      </c>
      <c r="AM114" s="99"/>
    </row>
    <row r="115" spans="33:39">
      <c r="AG115" s="99">
        <v>10</v>
      </c>
      <c r="AH115" s="99" t="s">
        <v>4369</v>
      </c>
      <c r="AI115" s="117">
        <v>10000000</v>
      </c>
      <c r="AJ115" s="99">
        <v>3</v>
      </c>
      <c r="AK115" s="99">
        <f t="shared" si="15"/>
        <v>14</v>
      </c>
      <c r="AL115" s="99">
        <f t="shared" si="16"/>
        <v>140000000</v>
      </c>
      <c r="AM115" s="99"/>
    </row>
    <row r="116" spans="33:39">
      <c r="AG116" s="99">
        <v>11</v>
      </c>
      <c r="AH116" s="99" t="s">
        <v>4348</v>
      </c>
      <c r="AI116" s="117">
        <v>3400000</v>
      </c>
      <c r="AJ116" s="99">
        <v>9</v>
      </c>
      <c r="AK116" s="99">
        <f t="shared" si="15"/>
        <v>11</v>
      </c>
      <c r="AL116" s="99">
        <f t="shared" si="16"/>
        <v>37400000</v>
      </c>
      <c r="AM116" s="99"/>
    </row>
    <row r="117" spans="33:39">
      <c r="AG117" s="99">
        <v>12</v>
      </c>
      <c r="AH117" s="99" t="s">
        <v>4405</v>
      </c>
      <c r="AI117" s="117">
        <v>-8736514</v>
      </c>
      <c r="AJ117" s="99">
        <v>1</v>
      </c>
      <c r="AK117" s="99">
        <f t="shared" si="15"/>
        <v>2</v>
      </c>
      <c r="AL117" s="99">
        <f t="shared" si="16"/>
        <v>-17473028</v>
      </c>
      <c r="AM117" s="99"/>
    </row>
    <row r="118" spans="33:39">
      <c r="AG118" s="99">
        <v>13</v>
      </c>
      <c r="AH118" s="99" t="s">
        <v>4406</v>
      </c>
      <c r="AI118" s="117">
        <v>555000</v>
      </c>
      <c r="AJ118" s="99">
        <v>1</v>
      </c>
      <c r="AK118" s="99">
        <f t="shared" si="15"/>
        <v>1</v>
      </c>
      <c r="AL118" s="99">
        <f t="shared" si="16"/>
        <v>555000</v>
      </c>
      <c r="AM118" s="99"/>
    </row>
    <row r="119" spans="33:39">
      <c r="AG119" s="99">
        <v>14</v>
      </c>
      <c r="AH119" s="99"/>
      <c r="AI119" s="99"/>
      <c r="AJ119" s="99"/>
      <c r="AK119" s="99">
        <f t="shared" si="15"/>
        <v>0</v>
      </c>
      <c r="AL119" s="99">
        <f t="shared" si="16"/>
        <v>0</v>
      </c>
      <c r="AM119" s="99"/>
    </row>
    <row r="120" spans="33:39">
      <c r="AG120" s="99">
        <v>15</v>
      </c>
      <c r="AH120" s="99"/>
      <c r="AI120" s="99"/>
      <c r="AJ120" s="99"/>
      <c r="AK120" s="99">
        <f t="shared" si="15"/>
        <v>0</v>
      </c>
      <c r="AL120" s="99"/>
      <c r="AM120" s="99"/>
    </row>
    <row r="121" spans="33:39">
      <c r="AG121" s="99"/>
      <c r="AH121" s="99"/>
      <c r="AI121" s="99"/>
      <c r="AJ121" s="99"/>
      <c r="AK121" s="99"/>
      <c r="AL121" s="99"/>
      <c r="AM121" s="99"/>
    </row>
    <row r="122" spans="33:39">
      <c r="AG122" s="99"/>
      <c r="AH122" s="99"/>
      <c r="AI122" s="95">
        <f>SUM(AI106:AI121)</f>
        <v>26772143</v>
      </c>
      <c r="AJ122" s="99"/>
      <c r="AK122" s="99"/>
      <c r="AL122" s="99">
        <f>SUM(AL106:AL121)</f>
        <v>1094423568</v>
      </c>
      <c r="AM122" s="95">
        <f>AL122*AM92/31</f>
        <v>706079.7212903226</v>
      </c>
    </row>
    <row r="123" spans="33:39">
      <c r="AI123" t="s">
        <v>4064</v>
      </c>
      <c r="AL123" t="s">
        <v>284</v>
      </c>
      <c r="AM123" t="s">
        <v>916</v>
      </c>
    </row>
    <row r="125" spans="33:39">
      <c r="AH125" t="s">
        <v>4066</v>
      </c>
      <c r="AI125" s="114">
        <f>AI122+AM122</f>
        <v>27478222.721290324</v>
      </c>
    </row>
    <row r="126" spans="33:39">
      <c r="AH126" t="s">
        <v>4069</v>
      </c>
      <c r="AI126" s="114">
        <f>SUM(N19:N24)+N30</f>
        <v>28846835.500000004</v>
      </c>
    </row>
    <row r="127" spans="33:39">
      <c r="AH127" t="s">
        <v>4143</v>
      </c>
      <c r="AI127" s="114">
        <f>AI126-AI122</f>
        <v>2074692.5000000037</v>
      </c>
    </row>
    <row r="128" spans="33:39">
      <c r="AH128" t="s">
        <v>944</v>
      </c>
      <c r="AI128" s="114">
        <f>AM122</f>
        <v>706079.7212903226</v>
      </c>
    </row>
    <row r="129" spans="34:35">
      <c r="AH129" t="s">
        <v>4070</v>
      </c>
      <c r="AI129" s="114">
        <f>AI127-AI128</f>
        <v>1368612.7787096812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4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>
      <c r="A1" s="99" t="s">
        <v>3644</v>
      </c>
      <c r="B1" s="99" t="s">
        <v>4294</v>
      </c>
      <c r="C1" s="99" t="s">
        <v>4295</v>
      </c>
      <c r="D1" s="99" t="s">
        <v>4296</v>
      </c>
      <c r="E1" s="99" t="s">
        <v>4297</v>
      </c>
      <c r="F1" s="74" t="s">
        <v>4298</v>
      </c>
      <c r="M1" s="99" t="s">
        <v>950</v>
      </c>
      <c r="N1" s="99">
        <v>6.3E-3</v>
      </c>
    </row>
    <row r="2" spans="1:24">
      <c r="A2" s="99">
        <v>1</v>
      </c>
      <c r="B2" s="99">
        <v>100</v>
      </c>
      <c r="C2" s="99">
        <v>0</v>
      </c>
      <c r="D2" s="99">
        <v>1000000</v>
      </c>
      <c r="E2" s="170">
        <v>0</v>
      </c>
      <c r="F2" s="74">
        <v>0</v>
      </c>
      <c r="M2" s="99" t="s">
        <v>61</v>
      </c>
      <c r="N2" s="99">
        <v>4.8999999999999998E-3</v>
      </c>
    </row>
    <row r="3" spans="1:24">
      <c r="A3" s="99">
        <v>2</v>
      </c>
      <c r="B3" s="99">
        <v>102</v>
      </c>
      <c r="C3" s="99">
        <v>-20000</v>
      </c>
      <c r="D3" s="99">
        <f>D2+C3</f>
        <v>980000</v>
      </c>
      <c r="E3" s="170">
        <f>-B3*C3*(1-IF(C3&lt;0,$N$1,$N$2))</f>
        <v>2027148</v>
      </c>
      <c r="F3" s="170">
        <f>ABS(B3*C3*IF(C3&lt;0,$N$1,$N$2))</f>
        <v>12852</v>
      </c>
      <c r="M3" s="99" t="s">
        <v>6</v>
      </c>
      <c r="N3" s="99">
        <f>N1+N2</f>
        <v>1.12E-2</v>
      </c>
    </row>
    <row r="4" spans="1:24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0">
        <f t="shared" ref="E4:E24" si="1">-B4*C4*(1-IF(C4&lt;0,$N$1,$N$2))</f>
        <v>2066896</v>
      </c>
      <c r="F4" s="170">
        <f t="shared" ref="F4:F24" si="2">ABS(B4*C4*IF(C4&lt;0,$N$1,$N$2))</f>
        <v>13104</v>
      </c>
    </row>
    <row r="5" spans="1:24">
      <c r="A5" s="99">
        <v>4</v>
      </c>
      <c r="B5" s="99">
        <v>102</v>
      </c>
      <c r="C5" s="99">
        <v>20000</v>
      </c>
      <c r="D5" s="99">
        <f t="shared" si="0"/>
        <v>980000</v>
      </c>
      <c r="E5" s="170">
        <f t="shared" si="1"/>
        <v>-2030004</v>
      </c>
      <c r="F5" s="170">
        <f t="shared" si="2"/>
        <v>9996</v>
      </c>
    </row>
    <row r="6" spans="1:24">
      <c r="A6" s="99">
        <v>5</v>
      </c>
      <c r="B6" s="99">
        <v>100</v>
      </c>
      <c r="C6" s="99">
        <v>20000</v>
      </c>
      <c r="D6" s="99">
        <f t="shared" si="0"/>
        <v>1000000</v>
      </c>
      <c r="E6" s="170">
        <f t="shared" si="1"/>
        <v>-1990200</v>
      </c>
      <c r="F6" s="170">
        <f t="shared" si="2"/>
        <v>9800</v>
      </c>
    </row>
    <row r="7" spans="1:24">
      <c r="A7" s="99">
        <v>6</v>
      </c>
      <c r="B7" s="99">
        <v>98</v>
      </c>
      <c r="C7" s="99">
        <v>20000</v>
      </c>
      <c r="D7" s="99">
        <f t="shared" si="0"/>
        <v>1020000</v>
      </c>
      <c r="E7" s="170">
        <f t="shared" si="1"/>
        <v>-1950396</v>
      </c>
      <c r="F7" s="170">
        <f t="shared" si="2"/>
        <v>9604</v>
      </c>
    </row>
    <row r="8" spans="1:24">
      <c r="A8" s="99">
        <v>7</v>
      </c>
      <c r="B8" s="99">
        <v>96</v>
      </c>
      <c r="C8" s="99">
        <v>20000</v>
      </c>
      <c r="D8" s="99">
        <f t="shared" si="0"/>
        <v>1040000</v>
      </c>
      <c r="E8" s="170">
        <f t="shared" si="1"/>
        <v>-1910592</v>
      </c>
      <c r="F8" s="170">
        <f t="shared" si="2"/>
        <v>9408</v>
      </c>
    </row>
    <row r="9" spans="1:24">
      <c r="A9" s="99">
        <v>8</v>
      </c>
      <c r="B9" s="99">
        <v>98</v>
      </c>
      <c r="C9" s="99">
        <v>-20000</v>
      </c>
      <c r="D9" s="99">
        <f t="shared" si="0"/>
        <v>1020000</v>
      </c>
      <c r="E9" s="170">
        <f t="shared" si="1"/>
        <v>1947652</v>
      </c>
      <c r="F9" s="170">
        <f t="shared" si="2"/>
        <v>12348</v>
      </c>
    </row>
    <row r="10" spans="1:24">
      <c r="A10" s="99">
        <v>9</v>
      </c>
      <c r="B10" s="99">
        <v>96</v>
      </c>
      <c r="C10" s="99">
        <v>20000</v>
      </c>
      <c r="D10" s="99">
        <f t="shared" si="0"/>
        <v>1040000</v>
      </c>
      <c r="E10" s="170">
        <f t="shared" si="1"/>
        <v>-1910592</v>
      </c>
      <c r="F10" s="170">
        <f t="shared" si="2"/>
        <v>9408</v>
      </c>
      <c r="S10" s="96"/>
      <c r="T10" s="96"/>
      <c r="U10" s="96" t="s">
        <v>4310</v>
      </c>
      <c r="V10" s="96" t="s">
        <v>4312</v>
      </c>
      <c r="W10" t="s">
        <v>4306</v>
      </c>
      <c r="X10" t="s">
        <v>4308</v>
      </c>
    </row>
    <row r="11" spans="1:24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0">
        <f t="shared" si="1"/>
        <v>1947652</v>
      </c>
      <c r="F11" s="170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0">
        <f t="shared" si="1"/>
        <v>1987400</v>
      </c>
      <c r="F12" s="170">
        <f t="shared" si="2"/>
        <v>12600</v>
      </c>
      <c r="S12" s="96"/>
      <c r="T12" s="96"/>
      <c r="U12" s="96"/>
      <c r="V12" s="96"/>
    </row>
    <row r="13" spans="1:24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0">
        <f t="shared" si="1"/>
        <v>2027148</v>
      </c>
      <c r="F13" s="170">
        <f t="shared" si="2"/>
        <v>12852</v>
      </c>
      <c r="O13" s="99" t="s">
        <v>446</v>
      </c>
      <c r="P13" s="99" t="s">
        <v>4309</v>
      </c>
      <c r="Q13" s="99" t="s">
        <v>4310</v>
      </c>
      <c r="R13" s="99" t="s">
        <v>4311</v>
      </c>
      <c r="S13" s="99" t="s">
        <v>4305</v>
      </c>
      <c r="T13" s="99" t="s">
        <v>4307</v>
      </c>
      <c r="U13" s="69" t="s">
        <v>4306</v>
      </c>
      <c r="V13" s="69" t="s">
        <v>4308</v>
      </c>
    </row>
    <row r="14" spans="1:24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0">
        <f t="shared" si="1"/>
        <v>2066896</v>
      </c>
      <c r="F14" s="170">
        <f t="shared" si="2"/>
        <v>13104</v>
      </c>
      <c r="O14" s="99">
        <v>0</v>
      </c>
      <c r="P14" s="95">
        <v>1000000</v>
      </c>
      <c r="Q14" s="95">
        <v>0</v>
      </c>
      <c r="R14" s="170">
        <v>800000</v>
      </c>
      <c r="S14" s="170">
        <v>0</v>
      </c>
      <c r="T14" s="170">
        <v>800000</v>
      </c>
      <c r="U14" s="69">
        <v>0</v>
      </c>
      <c r="V14" s="170">
        <v>0</v>
      </c>
    </row>
    <row r="15" spans="1:24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0">
        <f t="shared" si="1"/>
        <v>-2030004</v>
      </c>
      <c r="F15" s="170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0">
        <f>R14*$V$11/1200</f>
        <v>13333.333333333334</v>
      </c>
      <c r="T15" s="95">
        <f>T14-U15-V15</f>
        <v>730500</v>
      </c>
      <c r="U15" s="170">
        <f>T14*$W$11/1200</f>
        <v>6000</v>
      </c>
      <c r="V15" s="170">
        <f t="shared" ref="V15:V26" si="3">$X$11</f>
        <v>63500</v>
      </c>
    </row>
    <row r="16" spans="1:24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0">
        <f t="shared" si="1"/>
        <v>-1990200</v>
      </c>
      <c r="F16" s="170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0">
        <f t="shared" ref="S16:S26" si="7">R15*$V$11/1200</f>
        <v>12497.222222222223</v>
      </c>
      <c r="T16" s="95">
        <f>T15-U16-V16</f>
        <v>661521.25</v>
      </c>
      <c r="U16" s="170">
        <f t="shared" ref="U16:U26" si="8">T15*$W$11/1200</f>
        <v>5478.75</v>
      </c>
      <c r="V16" s="170">
        <f t="shared" si="3"/>
        <v>63500</v>
      </c>
    </row>
    <row r="17" spans="1:22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0">
        <f t="shared" si="1"/>
        <v>2027148</v>
      </c>
      <c r="F17" s="170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0">
        <f t="shared" si="7"/>
        <v>11647.175925925927</v>
      </c>
      <c r="T17" s="95">
        <f t="shared" ref="T17:T26" si="9">T16-U17-V17</f>
        <v>593059.84062499995</v>
      </c>
      <c r="U17" s="170">
        <f t="shared" si="8"/>
        <v>4961.4093750000002</v>
      </c>
      <c r="V17" s="170">
        <f t="shared" si="3"/>
        <v>63500</v>
      </c>
    </row>
    <row r="18" spans="1:22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0">
        <f t="shared" si="1"/>
        <v>2066896</v>
      </c>
      <c r="F18" s="170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0">
        <f t="shared" si="7"/>
        <v>10782.962191358025</v>
      </c>
      <c r="T18" s="95">
        <f t="shared" si="9"/>
        <v>525111.89182031248</v>
      </c>
      <c r="U18" s="170">
        <f t="shared" si="8"/>
        <v>4447.9488046874994</v>
      </c>
      <c r="V18" s="170">
        <f t="shared" si="3"/>
        <v>63500</v>
      </c>
    </row>
    <row r="19" spans="1:22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0">
        <f t="shared" si="1"/>
        <v>2106644</v>
      </c>
      <c r="F19" s="170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0">
        <f t="shared" si="7"/>
        <v>9904.3448945473265</v>
      </c>
      <c r="T19" s="95">
        <f t="shared" si="9"/>
        <v>457673.55263166013</v>
      </c>
      <c r="U19" s="170">
        <f t="shared" si="8"/>
        <v>3938.3391886523436</v>
      </c>
      <c r="V19" s="170">
        <f t="shared" si="3"/>
        <v>63500</v>
      </c>
    </row>
    <row r="20" spans="1:22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0">
        <f t="shared" si="1"/>
        <v>2146392</v>
      </c>
      <c r="F20" s="170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0">
        <f t="shared" si="7"/>
        <v>9011.0839761231164</v>
      </c>
      <c r="T20" s="95">
        <f t="shared" si="9"/>
        <v>390741.00098692271</v>
      </c>
      <c r="U20" s="170">
        <f t="shared" si="8"/>
        <v>3432.5516447374512</v>
      </c>
      <c r="V20" s="170">
        <f t="shared" si="3"/>
        <v>63500</v>
      </c>
    </row>
    <row r="21" spans="1:22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0">
        <f t="shared" si="1"/>
        <v>-2109612</v>
      </c>
      <c r="F21" s="170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0">
        <f t="shared" si="7"/>
        <v>8102.9353757251674</v>
      </c>
      <c r="T21" s="95">
        <f t="shared" si="9"/>
        <v>324310.44347952079</v>
      </c>
      <c r="U21" s="170">
        <f t="shared" si="8"/>
        <v>2930.5575074019202</v>
      </c>
      <c r="V21" s="170">
        <f t="shared" si="3"/>
        <v>63500</v>
      </c>
    </row>
    <row r="22" spans="1:22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0">
        <f t="shared" si="1"/>
        <v>-2069808</v>
      </c>
      <c r="F22" s="170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0">
        <f t="shared" si="7"/>
        <v>7179.6509653205858</v>
      </c>
      <c r="T22" s="95">
        <f t="shared" si="9"/>
        <v>258378.11515342438</v>
      </c>
      <c r="U22" s="170">
        <f t="shared" si="8"/>
        <v>2432.3283260964058</v>
      </c>
      <c r="V22" s="170">
        <f t="shared" si="3"/>
        <v>63500</v>
      </c>
    </row>
    <row r="23" spans="1:22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0">
        <f t="shared" si="1"/>
        <v>-2030004</v>
      </c>
      <c r="F23" s="170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0">
        <f t="shared" si="7"/>
        <v>6240.9784814092636</v>
      </c>
      <c r="T23" s="95">
        <f t="shared" si="9"/>
        <v>192940.27928977369</v>
      </c>
      <c r="U23" s="170">
        <f t="shared" si="8"/>
        <v>1937.835863650683</v>
      </c>
      <c r="V23" s="170">
        <f t="shared" si="3"/>
        <v>63500</v>
      </c>
    </row>
    <row r="24" spans="1:22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0">
        <f t="shared" si="1"/>
        <v>-1990200</v>
      </c>
      <c r="F24" s="170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0">
        <f t="shared" si="7"/>
        <v>5286.6614560994176</v>
      </c>
      <c r="T24" s="95">
        <f t="shared" si="9"/>
        <v>127993.22719510039</v>
      </c>
      <c r="U24" s="170">
        <f t="shared" si="8"/>
        <v>1447.0520946733027</v>
      </c>
      <c r="V24" s="170">
        <f t="shared" si="3"/>
        <v>63500</v>
      </c>
    </row>
    <row r="25" spans="1:22">
      <c r="A25" s="99">
        <v>24</v>
      </c>
      <c r="B25" s="99"/>
      <c r="C25" s="99"/>
      <c r="D25" s="99"/>
      <c r="E25" s="170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0">
        <f t="shared" si="7"/>
        <v>4316.4391470344081</v>
      </c>
      <c r="T25" s="95">
        <f t="shared" si="9"/>
        <v>63533.277991137147</v>
      </c>
      <c r="U25" s="170">
        <f t="shared" si="8"/>
        <v>959.9492039632529</v>
      </c>
      <c r="V25" s="170">
        <f t="shared" si="3"/>
        <v>63500</v>
      </c>
    </row>
    <row r="26" spans="1:22">
      <c r="A26" s="99">
        <v>25</v>
      </c>
      <c r="B26" s="99"/>
      <c r="C26" s="99"/>
      <c r="D26" s="99"/>
      <c r="E26" s="170">
        <f>SUM(E2:E24)</f>
        <v>406260</v>
      </c>
      <c r="F26" s="170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0">
        <f t="shared" si="7"/>
        <v>3330.046466151648</v>
      </c>
      <c r="T26" s="95">
        <f t="shared" si="9"/>
        <v>-443.2215937963847</v>
      </c>
      <c r="U26" s="170">
        <f t="shared" si="8"/>
        <v>476.49958493352858</v>
      </c>
      <c r="V26" s="170">
        <f t="shared" si="3"/>
        <v>63500</v>
      </c>
    </row>
    <row r="27" spans="1:22">
      <c r="A27" s="99">
        <v>26</v>
      </c>
      <c r="B27" s="99"/>
      <c r="C27" s="99"/>
      <c r="D27" s="99"/>
      <c r="E27" s="99" t="s">
        <v>4299</v>
      </c>
      <c r="F27" s="99" t="s">
        <v>4300</v>
      </c>
      <c r="O27" s="99"/>
      <c r="P27" s="99"/>
      <c r="Q27" s="99"/>
      <c r="R27" s="99"/>
      <c r="S27" s="99"/>
      <c r="T27" s="99"/>
      <c r="U27" s="99"/>
      <c r="V27" s="99"/>
    </row>
    <row r="28" spans="1:22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>
      <c r="A30" s="96"/>
      <c r="B30" s="96"/>
      <c r="C30" s="96"/>
      <c r="D30" s="96"/>
      <c r="E30" s="96"/>
      <c r="F30" s="96"/>
    </row>
    <row r="31" spans="1:22">
      <c r="A31" s="96"/>
      <c r="B31" s="96"/>
      <c r="C31" s="96"/>
      <c r="D31" s="96"/>
      <c r="E31" s="96"/>
      <c r="F31" s="96"/>
    </row>
    <row r="32" spans="1:22">
      <c r="A32" s="96"/>
      <c r="B32" s="96"/>
      <c r="C32" s="96"/>
      <c r="D32" s="96"/>
      <c r="E32" s="96"/>
      <c r="F32" s="96"/>
    </row>
    <row r="33" spans="1:18">
      <c r="A33" s="96"/>
      <c r="B33" s="96"/>
      <c r="C33" s="96"/>
      <c r="D33" s="96"/>
      <c r="E33" s="96"/>
      <c r="F33" s="96"/>
      <c r="R33" t="s">
        <v>25</v>
      </c>
    </row>
    <row r="34" spans="1:18">
      <c r="A34" s="96"/>
      <c r="B34" s="96"/>
      <c r="C34" s="96"/>
      <c r="D34" s="96"/>
      <c r="E34" s="96"/>
      <c r="F34" s="96"/>
    </row>
    <row r="35" spans="1:18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2018-11-09T08:50:25Z</dcterms:modified>
</cp:coreProperties>
</file>