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فروردین 98" sheetId="5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اسفند97" sheetId="57" r:id="rId46"/>
    <sheet name="لیست خرید و فروش" sheetId="32" r:id="rId47"/>
    <sheet name="اوراق بدون ریسک" sheetId="33" r:id="rId48"/>
    <sheet name="نکات" sheetId="35" r:id="rId49"/>
    <sheet name="سکه" sheetId="36" r:id="rId50"/>
    <sheet name="apply" sheetId="37" r:id="rId51"/>
    <sheet name="بیمه" sheetId="39" r:id="rId52"/>
    <sheet name="آرشیو قیمت ارجینال" sheetId="40" r:id="rId53"/>
    <sheet name="تحلیل1" sheetId="41" r:id="rId54"/>
    <sheet name="Sheet1" sheetId="53" r:id="rId55"/>
    <sheet name="صبحانه" sheetId="56" r:id="rId56"/>
  </sheets>
  <calcPr calcId="145621"/>
</workbook>
</file>

<file path=xl/calcChain.xml><?xml version="1.0" encoding="utf-8"?>
<calcChain xmlns="http://schemas.openxmlformats.org/spreadsheetml/2006/main">
  <c r="P87" i="52" l="1"/>
  <c r="N87" i="52"/>
  <c r="J87" i="52"/>
  <c r="O87" i="52"/>
  <c r="D347" i="20"/>
  <c r="D346" i="20"/>
  <c r="C2" i="58"/>
  <c r="B2" i="58"/>
  <c r="D63" i="58"/>
  <c r="L22" i="18" s="1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H2" i="58"/>
  <c r="G2" i="58"/>
  <c r="C34" i="58"/>
  <c r="B34" i="58"/>
  <c r="P37" i="18"/>
  <c r="N37" i="18" s="1"/>
  <c r="P165" i="18"/>
  <c r="W236" i="18"/>
  <c r="H35" i="58" l="1"/>
  <c r="G35" i="58"/>
  <c r="D2" i="58"/>
  <c r="R272" i="18"/>
  <c r="R238" i="18"/>
  <c r="R209" i="18"/>
  <c r="G32" i="57"/>
  <c r="H32" i="57"/>
  <c r="I32" i="57"/>
  <c r="D32" i="57"/>
  <c r="D345" i="20"/>
  <c r="U240" i="18"/>
  <c r="W235" i="18"/>
  <c r="W234" i="18"/>
  <c r="H40" i="58" l="1"/>
  <c r="I2" i="58"/>
  <c r="I35" i="58" s="1"/>
  <c r="I40" i="58" s="1"/>
  <c r="D34" i="58"/>
  <c r="T256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G367" i="20"/>
  <c r="G366" i="20" s="1"/>
  <c r="H367" i="20"/>
  <c r="K367" i="20" s="1"/>
  <c r="I367" i="20"/>
  <c r="D344" i="20"/>
  <c r="G31" i="57"/>
  <c r="H31" i="57"/>
  <c r="D31" i="57"/>
  <c r="I31" i="57" s="1"/>
  <c r="K366" i="20" l="1"/>
  <c r="I366" i="20"/>
  <c r="G365" i="20"/>
  <c r="J366" i="20"/>
  <c r="J367" i="20"/>
  <c r="AJ151" i="18"/>
  <c r="C37" i="56"/>
  <c r="B37" i="56"/>
  <c r="G364" i="20" l="1"/>
  <c r="J365" i="20"/>
  <c r="K365" i="20"/>
  <c r="I365" i="20"/>
  <c r="N58" i="18"/>
  <c r="P28" i="18"/>
  <c r="N28" i="18" s="1"/>
  <c r="P33" i="18"/>
  <c r="N33" i="18" s="1"/>
  <c r="D65" i="52"/>
  <c r="O84" i="52"/>
  <c r="P22" i="18"/>
  <c r="W233" i="18"/>
  <c r="D343" i="20"/>
  <c r="I364" i="20" l="1"/>
  <c r="G363" i="20"/>
  <c r="J364" i="20"/>
  <c r="K364" i="20"/>
  <c r="W232" i="18"/>
  <c r="D342" i="20"/>
  <c r="J83" i="52"/>
  <c r="O83" i="52"/>
  <c r="W231" i="18"/>
  <c r="W230" i="18"/>
  <c r="F44" i="14"/>
  <c r="F45" i="14"/>
  <c r="F46" i="14"/>
  <c r="F47" i="14"/>
  <c r="F48" i="14"/>
  <c r="F49" i="14"/>
  <c r="F50" i="14"/>
  <c r="F51" i="14"/>
  <c r="F52" i="14"/>
  <c r="F53" i="14"/>
  <c r="E54" i="14"/>
  <c r="G54" i="14" s="1"/>
  <c r="F54" i="14"/>
  <c r="D341" i="20"/>
  <c r="G362" i="20" l="1"/>
  <c r="I363" i="20"/>
  <c r="J363" i="20"/>
  <c r="K363" i="20"/>
  <c r="E53" i="14"/>
  <c r="AJ218" i="18"/>
  <c r="K362" i="20" l="1"/>
  <c r="G361" i="20"/>
  <c r="J362" i="20"/>
  <c r="I362" i="20"/>
  <c r="E52" i="14"/>
  <c r="G53" i="14"/>
  <c r="I361" i="20" l="1"/>
  <c r="G360" i="20"/>
  <c r="J361" i="20"/>
  <c r="K361" i="20"/>
  <c r="G52" i="14"/>
  <c r="E51" i="14"/>
  <c r="AL147" i="18"/>
  <c r="AM147" i="18" s="1"/>
  <c r="AL148" i="18"/>
  <c r="AM148" i="18" s="1"/>
  <c r="AL149" i="18"/>
  <c r="AM149" i="18" s="1"/>
  <c r="W229" i="18"/>
  <c r="I360" i="20" l="1"/>
  <c r="K360" i="20"/>
  <c r="G359" i="20"/>
  <c r="J360" i="20"/>
  <c r="G51" i="14"/>
  <c r="E50" i="14"/>
  <c r="AL145" i="18"/>
  <c r="AM145" i="18" s="1"/>
  <c r="J91" i="52"/>
  <c r="G358" i="20" l="1"/>
  <c r="J359" i="20"/>
  <c r="K359" i="20"/>
  <c r="I359" i="20"/>
  <c r="E49" i="14"/>
  <c r="G50" i="14"/>
  <c r="D340" i="20"/>
  <c r="P38" i="18"/>
  <c r="N38" i="18" s="1"/>
  <c r="N67" i="18"/>
  <c r="P27" i="18"/>
  <c r="N27" i="18" s="1"/>
  <c r="P23" i="18"/>
  <c r="N23" i="18" s="1"/>
  <c r="N54" i="18"/>
  <c r="W228" i="18"/>
  <c r="H337" i="20"/>
  <c r="H338" i="20"/>
  <c r="H339" i="20"/>
  <c r="H340" i="20"/>
  <c r="H341" i="20"/>
  <c r="G368" i="20"/>
  <c r="I368" i="20" s="1"/>
  <c r="H368" i="20"/>
  <c r="G369" i="20"/>
  <c r="H369" i="20"/>
  <c r="K369" i="20" s="1"/>
  <c r="I369" i="20"/>
  <c r="J369" i="20"/>
  <c r="D339" i="20"/>
  <c r="I358" i="20" l="1"/>
  <c r="G357" i="20"/>
  <c r="J358" i="20"/>
  <c r="K358" i="20"/>
  <c r="G49" i="14"/>
  <c r="E48" i="14"/>
  <c r="K368" i="20"/>
  <c r="J368" i="20"/>
  <c r="O86" i="18"/>
  <c r="O85" i="18"/>
  <c r="O84" i="18"/>
  <c r="B371" i="20"/>
  <c r="D332" i="20"/>
  <c r="D333" i="20"/>
  <c r="D334" i="20"/>
  <c r="D335" i="20"/>
  <c r="D336" i="20"/>
  <c r="D337" i="20"/>
  <c r="D338" i="20"/>
  <c r="D369" i="20"/>
  <c r="J357" i="20" l="1"/>
  <c r="G356" i="20"/>
  <c r="K357" i="20"/>
  <c r="I357" i="20"/>
  <c r="E47" i="14"/>
  <c r="G48" i="14"/>
  <c r="P35" i="18"/>
  <c r="N35" i="18" s="1"/>
  <c r="P24" i="18"/>
  <c r="N24" i="18" s="1"/>
  <c r="N55" i="18"/>
  <c r="I356" i="20" l="1"/>
  <c r="G355" i="20"/>
  <c r="J356" i="20"/>
  <c r="K356" i="20"/>
  <c r="E46" i="14"/>
  <c r="G47" i="14"/>
  <c r="J355" i="20" l="1"/>
  <c r="I355" i="20"/>
  <c r="G354" i="20"/>
  <c r="K355" i="20"/>
  <c r="G46" i="14"/>
  <c r="E45" i="14"/>
  <c r="W227" i="18"/>
  <c r="D80" i="57"/>
  <c r="K354" i="20" l="1"/>
  <c r="J354" i="20"/>
  <c r="G353" i="20"/>
  <c r="I354" i="20"/>
  <c r="E44" i="14"/>
  <c r="G44" i="14" s="1"/>
  <c r="G45" i="14"/>
  <c r="AD46" i="52"/>
  <c r="AE46" i="52"/>
  <c r="G46" i="10"/>
  <c r="I353" i="20" l="1"/>
  <c r="G352" i="20"/>
  <c r="J353" i="20"/>
  <c r="K353" i="20"/>
  <c r="D331" i="20"/>
  <c r="I352" i="20" l="1"/>
  <c r="K352" i="20"/>
  <c r="G351" i="20"/>
  <c r="J352" i="20"/>
  <c r="D330" i="20"/>
  <c r="G350" i="20" l="1"/>
  <c r="J351" i="20"/>
  <c r="K351" i="20"/>
  <c r="I351" i="20"/>
  <c r="W226" i="18"/>
  <c r="W225" i="18"/>
  <c r="I350" i="20" l="1"/>
  <c r="G349" i="20"/>
  <c r="J350" i="20"/>
  <c r="K350" i="20"/>
  <c r="D329" i="20"/>
  <c r="K349" i="20" l="1"/>
  <c r="I349" i="20"/>
  <c r="G348" i="20"/>
  <c r="J349" i="20"/>
  <c r="M41" i="52"/>
  <c r="AD45" i="52"/>
  <c r="AC54" i="52" s="1"/>
  <c r="AE45" i="52"/>
  <c r="AD44" i="52"/>
  <c r="AE44" i="52"/>
  <c r="I348" i="20" l="1"/>
  <c r="G347" i="20"/>
  <c r="J348" i="20"/>
  <c r="K348" i="20"/>
  <c r="Z41" i="52"/>
  <c r="AD41" i="52"/>
  <c r="AE41" i="52"/>
  <c r="G346" i="20" l="1"/>
  <c r="J347" i="20"/>
  <c r="I347" i="20"/>
  <c r="K347" i="20"/>
  <c r="D328" i="20"/>
  <c r="D327" i="20"/>
  <c r="K346" i="20" l="1"/>
  <c r="G345" i="20"/>
  <c r="J346" i="20"/>
  <c r="I346" i="20"/>
  <c r="AD43" i="52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O90" i="52"/>
  <c r="N74" i="52"/>
  <c r="N75" i="52"/>
  <c r="N76" i="52"/>
  <c r="N77" i="52"/>
  <c r="N78" i="52"/>
  <c r="N79" i="52"/>
  <c r="N80" i="52"/>
  <c r="N81" i="52"/>
  <c r="N82" i="52"/>
  <c r="P82" i="52" s="1"/>
  <c r="N83" i="52"/>
  <c r="P83" i="52" s="1"/>
  <c r="N84" i="52"/>
  <c r="N85" i="52"/>
  <c r="N86" i="52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J90" i="52"/>
  <c r="P89" i="52" l="1"/>
  <c r="P88" i="52"/>
  <c r="P84" i="52"/>
  <c r="P80" i="52"/>
  <c r="I345" i="20"/>
  <c r="G344" i="20"/>
  <c r="J345" i="20"/>
  <c r="K345" i="20"/>
  <c r="P85" i="52"/>
  <c r="P81" i="52"/>
  <c r="P79" i="52"/>
  <c r="P90" i="52"/>
  <c r="P86" i="52"/>
  <c r="P78" i="52"/>
  <c r="P77" i="52"/>
  <c r="P76" i="52"/>
  <c r="P75" i="52"/>
  <c r="I344" i="20" l="1"/>
  <c r="G343" i="20"/>
  <c r="J344" i="20"/>
  <c r="K344" i="20"/>
  <c r="Z42" i="52"/>
  <c r="AD42" i="52"/>
  <c r="AE42" i="52"/>
  <c r="N63" i="18"/>
  <c r="M125" i="18" s="1"/>
  <c r="D326" i="20"/>
  <c r="D325" i="20"/>
  <c r="G342" i="20" l="1"/>
  <c r="J343" i="20"/>
  <c r="K343" i="20"/>
  <c r="I343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I342" i="20" l="1"/>
  <c r="K342" i="20"/>
  <c r="J342" i="20"/>
  <c r="D320" i="20"/>
  <c r="D319" i="20"/>
  <c r="D318" i="20" l="1"/>
  <c r="D317" i="20"/>
  <c r="W224" i="18" l="1"/>
  <c r="W223" i="18"/>
  <c r="G139" i="18"/>
  <c r="J139" i="18" s="1"/>
  <c r="G138" i="18"/>
  <c r="J138" i="18" s="1"/>
  <c r="G137" i="18"/>
  <c r="J137" i="18" s="1"/>
  <c r="G136" i="18"/>
  <c r="J136" i="18" s="1"/>
  <c r="J140" i="18" l="1"/>
  <c r="Z40" i="52"/>
  <c r="Z39" i="52"/>
  <c r="Z38" i="52"/>
  <c r="AD38" i="52"/>
  <c r="AD39" i="52"/>
  <c r="AD40" i="52"/>
  <c r="AE40" i="52"/>
  <c r="AE39" i="52"/>
  <c r="AE38" i="52"/>
  <c r="R185" i="18" l="1"/>
  <c r="O69" i="52"/>
  <c r="O70" i="52"/>
  <c r="O71" i="52"/>
  <c r="O72" i="52"/>
  <c r="O73" i="52"/>
  <c r="O91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P70" i="52" s="1"/>
  <c r="N71" i="52"/>
  <c r="N72" i="52"/>
  <c r="N73" i="52"/>
  <c r="P74" i="52" s="1"/>
  <c r="N68" i="52"/>
  <c r="P68" i="52" s="1"/>
  <c r="P71" i="52" l="1"/>
  <c r="P69" i="52"/>
  <c r="P73" i="52"/>
  <c r="P91" i="52"/>
  <c r="P72" i="52"/>
  <c r="W222" i="18"/>
  <c r="W221" i="18"/>
  <c r="M48" i="52"/>
  <c r="L44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0" i="18" l="1"/>
  <c r="W219" i="18"/>
  <c r="N34" i="52"/>
  <c r="N33" i="52"/>
  <c r="P42" i="52"/>
  <c r="AR16" i="18" l="1"/>
  <c r="G341" i="20" l="1"/>
  <c r="D316" i="20"/>
  <c r="K341" i="20" l="1"/>
  <c r="I341" i="20"/>
  <c r="G340" i="20"/>
  <c r="J341" i="20"/>
  <c r="C2" i="57"/>
  <c r="C34" i="57" s="1"/>
  <c r="B2" i="57"/>
  <c r="B34" i="57" s="1"/>
  <c r="H33" i="57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I340" i="20" l="1"/>
  <c r="G339" i="20"/>
  <c r="J340" i="20"/>
  <c r="K340" i="20"/>
  <c r="D2" i="57"/>
  <c r="H35" i="57"/>
  <c r="G35" i="57"/>
  <c r="D315" i="20"/>
  <c r="D314" i="20"/>
  <c r="I339" i="20" l="1"/>
  <c r="G338" i="20"/>
  <c r="J339" i="20"/>
  <c r="K339" i="20"/>
  <c r="H40" i="57"/>
  <c r="I2" i="57"/>
  <c r="I35" i="57" s="1"/>
  <c r="I40" i="57" s="1"/>
  <c r="D34" i="57"/>
  <c r="Z26" i="52"/>
  <c r="AD32" i="52"/>
  <c r="Z32" i="52"/>
  <c r="AE32" i="52"/>
  <c r="G337" i="20" l="1"/>
  <c r="J338" i="20"/>
  <c r="K338" i="20"/>
  <c r="I338" i="20"/>
  <c r="W218" i="18"/>
  <c r="W217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17" i="18"/>
  <c r="P26" i="18"/>
  <c r="N26" i="18" s="1"/>
  <c r="N22" i="18"/>
  <c r="P34" i="18"/>
  <c r="N34" i="18" s="1"/>
  <c r="AM217" i="18" l="1"/>
  <c r="AL216" i="18"/>
  <c r="K337" i="20"/>
  <c r="I337" i="20"/>
  <c r="J337" i="20"/>
  <c r="W216" i="18"/>
  <c r="W215" i="18"/>
  <c r="N30" i="52"/>
  <c r="N29" i="52"/>
  <c r="AD27" i="52"/>
  <c r="Z27" i="52"/>
  <c r="AE27" i="52"/>
  <c r="AL215" i="18" l="1"/>
  <c r="AM216" i="18"/>
  <c r="W214" i="18"/>
  <c r="W213" i="18"/>
  <c r="L47" i="52"/>
  <c r="N28" i="52"/>
  <c r="N27" i="52"/>
  <c r="AL214" i="18" l="1"/>
  <c r="AM215" i="18"/>
  <c r="AD26" i="52"/>
  <c r="AE26" i="52"/>
  <c r="N46" i="18"/>
  <c r="AM214" i="18" l="1"/>
  <c r="AL213" i="18"/>
  <c r="D313" i="20"/>
  <c r="AL212" i="18" l="1"/>
  <c r="AM213" i="18"/>
  <c r="L129" i="18"/>
  <c r="L126" i="18" s="1"/>
  <c r="AM212" i="18" l="1"/>
  <c r="AL211" i="18"/>
  <c r="L124" i="18"/>
  <c r="L125" i="18"/>
  <c r="N125" i="18" s="1"/>
  <c r="M129" i="18"/>
  <c r="L118" i="18"/>
  <c r="W212" i="18"/>
  <c r="W211" i="18"/>
  <c r="N24" i="52"/>
  <c r="N26" i="52"/>
  <c r="N25" i="52"/>
  <c r="AL210" i="18" l="1"/>
  <c r="AM211" i="18"/>
  <c r="N77" i="18"/>
  <c r="K128" i="18"/>
  <c r="L120" i="18"/>
  <c r="Z25" i="52"/>
  <c r="AD25" i="52"/>
  <c r="AE25" i="52"/>
  <c r="D312" i="20"/>
  <c r="D311" i="20"/>
  <c r="D310" i="20"/>
  <c r="H370" i="20"/>
  <c r="G370" i="20"/>
  <c r="H319" i="20"/>
  <c r="H318" i="20"/>
  <c r="H317" i="20"/>
  <c r="H316" i="20"/>
  <c r="H315" i="20"/>
  <c r="H314" i="20"/>
  <c r="H313" i="20"/>
  <c r="H312" i="20"/>
  <c r="H311" i="20"/>
  <c r="H310" i="20"/>
  <c r="H309" i="20"/>
  <c r="AM210" i="18" l="1"/>
  <c r="AL209" i="18"/>
  <c r="I370" i="20"/>
  <c r="J370" i="20"/>
  <c r="W210" i="18"/>
  <c r="W209" i="18"/>
  <c r="N23" i="52"/>
  <c r="N22" i="52"/>
  <c r="Z24" i="52"/>
  <c r="AD24" i="52"/>
  <c r="AE24" i="52"/>
  <c r="AL208" i="18" l="1"/>
  <c r="AM209" i="18"/>
  <c r="W208" i="18"/>
  <c r="W207" i="18"/>
  <c r="N21" i="52"/>
  <c r="N20" i="52"/>
  <c r="AL207" i="18" l="1"/>
  <c r="AM208" i="18"/>
  <c r="G336" i="20"/>
  <c r="D309" i="20"/>
  <c r="AL206" i="18" l="1"/>
  <c r="AM207" i="18"/>
  <c r="G335" i="20"/>
  <c r="K336" i="20"/>
  <c r="J336" i="20"/>
  <c r="I336" i="20"/>
  <c r="D308" i="20"/>
  <c r="AL205" i="18" l="1"/>
  <c r="AM206" i="18"/>
  <c r="I335" i="20"/>
  <c r="J335" i="20"/>
  <c r="K335" i="20"/>
  <c r="G334" i="20"/>
  <c r="N52" i="18"/>
  <c r="AL150" i="18"/>
  <c r="D307" i="20"/>
  <c r="AL204" i="18" l="1"/>
  <c r="AM205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I334" i="20"/>
  <c r="J334" i="20"/>
  <c r="G333" i="20"/>
  <c r="K334" i="20"/>
  <c r="M120" i="18"/>
  <c r="AM150" i="18"/>
  <c r="AD23" i="52"/>
  <c r="Z23" i="52"/>
  <c r="AE23" i="52"/>
  <c r="Z22" i="52"/>
  <c r="AD22" i="52"/>
  <c r="AE22" i="52"/>
  <c r="N64" i="18"/>
  <c r="AM143" i="18" l="1"/>
  <c r="AM140" i="18"/>
  <c r="AM141" i="18"/>
  <c r="AM138" i="18"/>
  <c r="AM137" i="18"/>
  <c r="AM139" i="18"/>
  <c r="AM142" i="18"/>
  <c r="AM144" i="18"/>
  <c r="AL203" i="18"/>
  <c r="AM204" i="18"/>
  <c r="I333" i="20"/>
  <c r="G332" i="20"/>
  <c r="J333" i="20"/>
  <c r="K333" i="20"/>
  <c r="W206" i="18"/>
  <c r="W205" i="18"/>
  <c r="AL202" i="18" l="1"/>
  <c r="AM203" i="18"/>
  <c r="G331" i="20"/>
  <c r="J332" i="20"/>
  <c r="K332" i="20"/>
  <c r="I332" i="20"/>
  <c r="AD21" i="52"/>
  <c r="AC21" i="52"/>
  <c r="AE21" i="52"/>
  <c r="AD20" i="52"/>
  <c r="AC20" i="52"/>
  <c r="AE20" i="52"/>
  <c r="AL201" i="18" l="1"/>
  <c r="AM202" i="18"/>
  <c r="I331" i="20"/>
  <c r="J331" i="20"/>
  <c r="K331" i="20"/>
  <c r="G330" i="20"/>
  <c r="G123" i="18"/>
  <c r="F123" i="18" s="1"/>
  <c r="G122" i="18"/>
  <c r="F122" i="18" s="1"/>
  <c r="G121" i="18"/>
  <c r="F121" i="18" s="1"/>
  <c r="G120" i="18"/>
  <c r="F120" i="18" s="1"/>
  <c r="G119" i="18"/>
  <c r="F119" i="18" s="1"/>
  <c r="G118" i="18"/>
  <c r="F118" i="18" s="1"/>
  <c r="P36" i="18"/>
  <c r="N36" i="18" s="1"/>
  <c r="P25" i="18"/>
  <c r="N25" i="18" s="1"/>
  <c r="AL200" i="18" l="1"/>
  <c r="AM201" i="18"/>
  <c r="I330" i="20"/>
  <c r="J330" i="20"/>
  <c r="K330" i="20"/>
  <c r="G329" i="20"/>
  <c r="D306" i="20"/>
  <c r="AL199" i="18" l="1"/>
  <c r="AM200" i="18"/>
  <c r="G328" i="20"/>
  <c r="J329" i="20"/>
  <c r="K329" i="20"/>
  <c r="I329" i="20"/>
  <c r="D305" i="20"/>
  <c r="AL198" i="18" l="1"/>
  <c r="AM199" i="18"/>
  <c r="I328" i="20"/>
  <c r="G327" i="20"/>
  <c r="K328" i="20"/>
  <c r="J328" i="20"/>
  <c r="AD19" i="52"/>
  <c r="AD18" i="52"/>
  <c r="Z19" i="52"/>
  <c r="Z18" i="52"/>
  <c r="AE19" i="52"/>
  <c r="AE18" i="52"/>
  <c r="AM198" i="18" l="1"/>
  <c r="AL197" i="18"/>
  <c r="I327" i="20"/>
  <c r="G326" i="20"/>
  <c r="J327" i="20"/>
  <c r="K327" i="20"/>
  <c r="D304" i="20"/>
  <c r="W204" i="18"/>
  <c r="W203" i="18"/>
  <c r="AD17" i="52"/>
  <c r="Z17" i="52"/>
  <c r="AE17" i="52"/>
  <c r="AD16" i="52"/>
  <c r="Z16" i="52"/>
  <c r="AE16" i="52"/>
  <c r="N17" i="52"/>
  <c r="N16" i="52"/>
  <c r="J326" i="20" l="1"/>
  <c r="K326" i="20"/>
  <c r="I326" i="20"/>
  <c r="G325" i="20"/>
  <c r="L119" i="18"/>
  <c r="L121" i="18"/>
  <c r="L122" i="18"/>
  <c r="L123" i="18"/>
  <c r="I325" i="20" l="1"/>
  <c r="J325" i="20"/>
  <c r="K325" i="20"/>
  <c r="G324" i="20"/>
  <c r="W202" i="18"/>
  <c r="W201" i="18"/>
  <c r="D303" i="20"/>
  <c r="D302" i="20"/>
  <c r="W200" i="18"/>
  <c r="K324" i="20" l="1"/>
  <c r="I324" i="20"/>
  <c r="G323" i="20"/>
  <c r="J324" i="20"/>
  <c r="D301" i="20"/>
  <c r="D300" i="20"/>
  <c r="D299" i="20"/>
  <c r="I323" i="20" l="1"/>
  <c r="K323" i="20"/>
  <c r="G322" i="20"/>
  <c r="J323" i="20"/>
  <c r="Z15" i="52"/>
  <c r="AD15" i="52"/>
  <c r="AE15" i="52"/>
  <c r="P39" i="18"/>
  <c r="P32" i="18"/>
  <c r="P29" i="18"/>
  <c r="P21" i="18"/>
  <c r="D298" i="20"/>
  <c r="I322" i="20" l="1"/>
  <c r="J322" i="20"/>
  <c r="K322" i="20"/>
  <c r="G321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20" i="20" l="1"/>
  <c r="J321" i="20"/>
  <c r="K321" i="20"/>
  <c r="I321" i="20"/>
  <c r="W198" i="18"/>
  <c r="N62" i="18"/>
  <c r="M124" i="18" s="1"/>
  <c r="N124" i="18" s="1"/>
  <c r="N60" i="18"/>
  <c r="M123" i="18" s="1"/>
  <c r="I320" i="20" l="1"/>
  <c r="J320" i="20"/>
  <c r="K320" i="20"/>
  <c r="G319" i="20"/>
  <c r="N123" i="18"/>
  <c r="AD14" i="52"/>
  <c r="AE14" i="52"/>
  <c r="AD13" i="52"/>
  <c r="AE13" i="52"/>
  <c r="Z14" i="52"/>
  <c r="D296" i="20"/>
  <c r="D295" i="20"/>
  <c r="I319" i="20" l="1"/>
  <c r="G318" i="20"/>
  <c r="K319" i="20"/>
  <c r="J319" i="20"/>
  <c r="W197" i="18"/>
  <c r="W196" i="18"/>
  <c r="L11" i="52"/>
  <c r="L10" i="52"/>
  <c r="AL196" i="18"/>
  <c r="AL195" i="18" s="1"/>
  <c r="AL194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J318" i="20" l="1"/>
  <c r="K318" i="20"/>
  <c r="G317" i="20"/>
  <c r="I318" i="20"/>
  <c r="H2" i="55"/>
  <c r="H33" i="55" s="1"/>
  <c r="AM197" i="18"/>
  <c r="AM196" i="18"/>
  <c r="AM195" i="18"/>
  <c r="G2" i="55"/>
  <c r="G33" i="55" s="1"/>
  <c r="D2" i="55"/>
  <c r="W195" i="18"/>
  <c r="W194" i="18"/>
  <c r="K317" i="20" l="1"/>
  <c r="J317" i="20"/>
  <c r="G316" i="20"/>
  <c r="I317" i="20"/>
  <c r="H38" i="55"/>
  <c r="I2" i="55"/>
  <c r="I33" i="55" s="1"/>
  <c r="I38" i="55" s="1"/>
  <c r="D32" i="55"/>
  <c r="D293" i="20"/>
  <c r="J316" i="20" l="1"/>
  <c r="G315" i="20"/>
  <c r="I316" i="20"/>
  <c r="K316" i="20"/>
  <c r="W193" i="18"/>
  <c r="N61" i="18"/>
  <c r="M122" i="18" s="1"/>
  <c r="N65" i="18"/>
  <c r="I315" i="20" l="1"/>
  <c r="K315" i="20"/>
  <c r="J315" i="20"/>
  <c r="G314" i="20"/>
  <c r="N122" i="18"/>
  <c r="D292" i="20"/>
  <c r="C8" i="36"/>
  <c r="W192" i="18"/>
  <c r="N5" i="52"/>
  <c r="J314" i="20" l="1"/>
  <c r="G313" i="20"/>
  <c r="I314" i="20"/>
  <c r="K314" i="20"/>
  <c r="N56" i="18"/>
  <c r="D291" i="20"/>
  <c r="K313" i="20" l="1"/>
  <c r="J313" i="20"/>
  <c r="G312" i="20"/>
  <c r="I313" i="20"/>
  <c r="D290" i="20"/>
  <c r="K312" i="20" l="1"/>
  <c r="J312" i="20"/>
  <c r="G311" i="20"/>
  <c r="I312" i="20"/>
  <c r="D289" i="20"/>
  <c r="I311" i="20" l="1"/>
  <c r="K311" i="20"/>
  <c r="J311" i="20"/>
  <c r="G310" i="20"/>
  <c r="N32" i="18"/>
  <c r="AL193" i="18"/>
  <c r="AL192" i="18" s="1"/>
  <c r="D288" i="20"/>
  <c r="J310" i="20" l="1"/>
  <c r="I310" i="20"/>
  <c r="K310" i="20"/>
  <c r="G309" i="20"/>
  <c r="AM194" i="18"/>
  <c r="AM193" i="18"/>
  <c r="AD4" i="52"/>
  <c r="K309" i="20" l="1"/>
  <c r="G308" i="20"/>
  <c r="J309" i="20"/>
  <c r="I309" i="20"/>
  <c r="D287" i="20"/>
  <c r="D286" i="20"/>
  <c r="F15" i="52"/>
  <c r="AB3" i="49" l="1"/>
  <c r="AB4" i="49"/>
  <c r="AB5" i="49"/>
  <c r="D285" i="20" l="1"/>
  <c r="W191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93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62" i="18"/>
  <c r="D281" i="20" l="1"/>
  <c r="D280" i="20" l="1"/>
  <c r="AD5" i="52" l="1"/>
  <c r="D279" i="20"/>
  <c r="W167" i="18" l="1"/>
  <c r="W190" i="18"/>
  <c r="D278" i="20"/>
  <c r="W169" i="18" l="1"/>
  <c r="W168" i="18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62" i="18"/>
  <c r="S161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53" i="18"/>
  <c r="M126" i="18" l="1"/>
  <c r="H270" i="20"/>
  <c r="H271" i="20"/>
  <c r="H272" i="20"/>
  <c r="D269" i="20"/>
  <c r="H269" i="20"/>
  <c r="AL135" i="18" l="1"/>
  <c r="S85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36" i="18"/>
  <c r="N137" i="18"/>
  <c r="N138" i="18"/>
  <c r="N139" i="18"/>
  <c r="N140" i="18"/>
  <c r="N141" i="18"/>
  <c r="N142" i="18"/>
  <c r="N143" i="18"/>
  <c r="N135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89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88" i="18"/>
  <c r="AM124" i="18" l="1"/>
  <c r="AL123" i="18"/>
  <c r="AM123" i="18" l="1"/>
  <c r="AL122" i="18"/>
  <c r="AL121" i="18" l="1"/>
  <c r="AM122" i="18"/>
  <c r="W182" i="18"/>
  <c r="W183" i="18"/>
  <c r="W184" i="18"/>
  <c r="W185" i="18"/>
  <c r="W186" i="18"/>
  <c r="W187" i="18"/>
  <c r="W199" i="18"/>
  <c r="W181" i="18"/>
  <c r="AM121" i="18" l="1"/>
  <c r="AL120" i="18"/>
  <c r="N68" i="18"/>
  <c r="AM120" i="18" l="1"/>
  <c r="AL119" i="18"/>
  <c r="AM119" i="18" l="1"/>
  <c r="AL118" i="18"/>
  <c r="T165" i="18"/>
  <c r="S61" i="18"/>
  <c r="S62" i="18" s="1"/>
  <c r="S63" i="18" s="1"/>
  <c r="R186" i="18"/>
  <c r="R184" i="18"/>
  <c r="D57" i="51"/>
  <c r="AL117" i="18" l="1"/>
  <c r="AM118" i="18"/>
  <c r="S64" i="18"/>
  <c r="S65" i="18" s="1"/>
  <c r="AM117" i="18" l="1"/>
  <c r="AL116" i="18"/>
  <c r="S66" i="18"/>
  <c r="S67" i="18" s="1"/>
  <c r="S68" i="18" s="1"/>
  <c r="S69" i="18" s="1"/>
  <c r="S70" i="18" s="1"/>
  <c r="S71" i="18" s="1"/>
  <c r="N39" i="18"/>
  <c r="Q76" i="18" s="1"/>
  <c r="S72" i="18" l="1"/>
  <c r="S73" i="18" s="1"/>
  <c r="S74" i="18" s="1"/>
  <c r="R183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59" i="18"/>
  <c r="M121" i="18" s="1"/>
  <c r="N121" i="18" l="1"/>
  <c r="AM112" i="18"/>
  <c r="AL111" i="18"/>
  <c r="D108" i="50"/>
  <c r="AL110" i="18" l="1"/>
  <c r="AM111" i="18"/>
  <c r="N57" i="18"/>
  <c r="AL109" i="18" l="1"/>
  <c r="AM110" i="18"/>
  <c r="N120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6" i="18" l="1"/>
  <c r="AL104" i="18"/>
  <c r="AM105" i="18"/>
  <c r="AL191" i="18"/>
  <c r="AM192" i="18"/>
  <c r="AL103" i="18" l="1"/>
  <c r="AM104" i="18"/>
  <c r="AL190" i="18"/>
  <c r="AM191" i="18"/>
  <c r="AL102" i="18" l="1"/>
  <c r="AM103" i="18"/>
  <c r="AL189" i="18"/>
  <c r="AM190" i="18"/>
  <c r="S23" i="18"/>
  <c r="S24" i="18" s="1"/>
  <c r="S25" i="18" s="1"/>
  <c r="S26" i="18" s="1"/>
  <c r="N93" i="18"/>
  <c r="AL101" i="18" l="1"/>
  <c r="AM102" i="18"/>
  <c r="AL188" i="18"/>
  <c r="AM189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AM101" i="18"/>
  <c r="AL100" i="18"/>
  <c r="AM188" i="18"/>
  <c r="AL187" i="18"/>
  <c r="D73" i="48"/>
  <c r="N29" i="18"/>
  <c r="M119" i="18" s="1"/>
  <c r="S50" i="18" l="1"/>
  <c r="S51" i="18" s="1"/>
  <c r="S52" i="18" s="1"/>
  <c r="S53" i="18" s="1"/>
  <c r="S54" i="18" s="1"/>
  <c r="AL99" i="18"/>
  <c r="AM100" i="18"/>
  <c r="N119" i="18"/>
  <c r="AL186" i="18"/>
  <c r="AM187" i="18"/>
  <c r="AM99" i="18" l="1"/>
  <c r="AL98" i="18"/>
  <c r="AL185" i="18"/>
  <c r="AM186" i="18"/>
  <c r="P73" i="18"/>
  <c r="AL97" i="18" l="1"/>
  <c r="AM98" i="18"/>
  <c r="AL184" i="18"/>
  <c r="AM185" i="18"/>
  <c r="AM97" i="18" l="1"/>
  <c r="AL96" i="18"/>
  <c r="AL183" i="18"/>
  <c r="AM184" i="18"/>
  <c r="N23" i="33"/>
  <c r="D23" i="33" s="1"/>
  <c r="AM96" i="18" l="1"/>
  <c r="AL95" i="18"/>
  <c r="AL182" i="18"/>
  <c r="AM183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81" i="18"/>
  <c r="AM182" i="18"/>
  <c r="N21" i="18"/>
  <c r="Q56" i="18" s="1"/>
  <c r="AJ222" i="18" l="1"/>
  <c r="AJ223" i="18" s="1"/>
  <c r="R182" i="18"/>
  <c r="AM94" i="18"/>
  <c r="AL93" i="18"/>
  <c r="AL180" i="18"/>
  <c r="AM181" i="18"/>
  <c r="AL92" i="18" l="1"/>
  <c r="AM93" i="18"/>
  <c r="AL179" i="18"/>
  <c r="AM180" i="18"/>
  <c r="S86" i="18"/>
  <c r="S87" i="18" s="1"/>
  <c r="AL91" i="18" l="1"/>
  <c r="AM92" i="18"/>
  <c r="AM179" i="18"/>
  <c r="AL178" i="18"/>
  <c r="AL90" i="18" l="1"/>
  <c r="AM91" i="18"/>
  <c r="AL177" i="18"/>
  <c r="AM178" i="18"/>
  <c r="AM90" i="18" l="1"/>
  <c r="AL89" i="18"/>
  <c r="AM177" i="18"/>
  <c r="AL176" i="18"/>
  <c r="AL88" i="18" l="1"/>
  <c r="AM89" i="18"/>
  <c r="AM176" i="18"/>
  <c r="AL175" i="18"/>
  <c r="B8" i="36"/>
  <c r="AM88" i="18" l="1"/>
  <c r="AL87" i="18"/>
  <c r="AL174" i="18"/>
  <c r="AM175" i="18"/>
  <c r="B10" i="36"/>
  <c r="AL86" i="18" l="1"/>
  <c r="AM87" i="18"/>
  <c r="AL173" i="18"/>
  <c r="AM174" i="18"/>
  <c r="S88" i="18"/>
  <c r="AL85" i="18" l="1"/>
  <c r="AM86" i="18"/>
  <c r="S89" i="18"/>
  <c r="S90" i="18" s="1"/>
  <c r="S91" i="18" s="1"/>
  <c r="S92" i="18" s="1"/>
  <c r="S93" i="18" s="1"/>
  <c r="S94" i="18" s="1"/>
  <c r="AL172" i="18"/>
  <c r="AM173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72" i="18"/>
  <c r="AL171" i="18"/>
  <c r="S95" i="18"/>
  <c r="S96" i="18" s="1"/>
  <c r="S97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71" i="18"/>
  <c r="AL170" i="18"/>
  <c r="AC15" i="33"/>
  <c r="AL82" i="18" l="1"/>
  <c r="AM83" i="18"/>
  <c r="AM170" i="18"/>
  <c r="AL169" i="18"/>
  <c r="N16" i="33"/>
  <c r="AL81" i="18" l="1"/>
  <c r="AM82" i="18"/>
  <c r="AM169" i="18"/>
  <c r="AL168" i="18"/>
  <c r="AM168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18" i="18"/>
  <c r="AN218" i="18" s="1"/>
  <c r="AJ22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S98" i="18" l="1"/>
  <c r="AJ224" i="18"/>
  <c r="AJ225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9" i="18" l="1"/>
  <c r="S100" i="18" s="1"/>
  <c r="AL77" i="18"/>
  <c r="AM78" i="18"/>
  <c r="N73" i="18"/>
  <c r="G307" i="20" l="1"/>
  <c r="K308" i="20"/>
  <c r="J308" i="20"/>
  <c r="I308" i="20"/>
  <c r="S101" i="18"/>
  <c r="S102" i="18" s="1"/>
  <c r="S103" i="18" s="1"/>
  <c r="S104" i="18" s="1"/>
  <c r="S105" i="18" s="1"/>
  <c r="AL76" i="18"/>
  <c r="AM77" i="18"/>
  <c r="G306" i="20" l="1"/>
  <c r="J307" i="20"/>
  <c r="I307" i="20"/>
  <c r="K307" i="20"/>
  <c r="S106" i="18"/>
  <c r="S107" i="18" s="1"/>
  <c r="AL75" i="18"/>
  <c r="AM76" i="18"/>
  <c r="N66" i="18"/>
  <c r="Q157" i="18" l="1"/>
  <c r="AJ157" i="18"/>
  <c r="AJ158" i="18" s="1"/>
  <c r="R181" i="18"/>
  <c r="R191" i="18" s="1"/>
  <c r="T243" i="18" s="1"/>
  <c r="V246" i="18" s="1"/>
  <c r="M118" i="18"/>
  <c r="N118" i="18" s="1"/>
  <c r="N129" i="18" s="1"/>
  <c r="S108" i="18"/>
  <c r="S109" i="18" s="1"/>
  <c r="S110" i="18" s="1"/>
  <c r="S111" i="18" s="1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G305" i="20"/>
  <c r="I306" i="20"/>
  <c r="K306" i="20"/>
  <c r="J306" i="20"/>
  <c r="AL74" i="18"/>
  <c r="AM75" i="18"/>
  <c r="U256" i="18" l="1"/>
  <c r="G304" i="20"/>
  <c r="I305" i="20"/>
  <c r="K305" i="20"/>
  <c r="J305" i="20"/>
  <c r="S126" i="18"/>
  <c r="AL73" i="18"/>
  <c r="AM74" i="18"/>
  <c r="N99" i="18"/>
  <c r="V74" i="18" l="1"/>
  <c r="X74" i="18" s="1"/>
  <c r="V54" i="18"/>
  <c r="W74" i="18"/>
  <c r="V53" i="18"/>
  <c r="X53" i="18" s="1"/>
  <c r="V73" i="18"/>
  <c r="V52" i="18"/>
  <c r="W52" i="18" s="1"/>
  <c r="V72" i="18"/>
  <c r="V51" i="18"/>
  <c r="V50" i="18"/>
  <c r="V49" i="18"/>
  <c r="W49" i="18" s="1"/>
  <c r="V71" i="18"/>
  <c r="V48" i="18"/>
  <c r="V47" i="18"/>
  <c r="V46" i="18"/>
  <c r="W46" i="18" s="1"/>
  <c r="V70" i="18"/>
  <c r="V45" i="18"/>
  <c r="V44" i="18"/>
  <c r="V43" i="18"/>
  <c r="V39" i="18"/>
  <c r="X39" i="18" s="1"/>
  <c r="V42" i="18"/>
  <c r="V41" i="18"/>
  <c r="V40" i="18"/>
  <c r="V38" i="18"/>
  <c r="V37" i="18"/>
  <c r="S127" i="18"/>
  <c r="S128" i="18" s="1"/>
  <c r="V33" i="18"/>
  <c r="W33" i="18" s="1"/>
  <c r="V34" i="18"/>
  <c r="V35" i="18"/>
  <c r="V55" i="18"/>
  <c r="V36" i="18"/>
  <c r="V32" i="18"/>
  <c r="X32" i="18" s="1"/>
  <c r="V69" i="18"/>
  <c r="G303" i="20"/>
  <c r="K304" i="20"/>
  <c r="I304" i="20"/>
  <c r="J304" i="20"/>
  <c r="V256" i="18"/>
  <c r="V31" i="18"/>
  <c r="W31" i="18" s="1"/>
  <c r="V68" i="18"/>
  <c r="V126" i="18"/>
  <c r="V124" i="18"/>
  <c r="V123" i="18"/>
  <c r="V122" i="18"/>
  <c r="V125" i="18"/>
  <c r="V119" i="18"/>
  <c r="W119" i="18" s="1"/>
  <c r="V121" i="18"/>
  <c r="V120" i="18"/>
  <c r="V118" i="18"/>
  <c r="V117" i="18"/>
  <c r="V30" i="18"/>
  <c r="W30" i="18" s="1"/>
  <c r="V67" i="18"/>
  <c r="V115" i="18"/>
  <c r="V116" i="18"/>
  <c r="V113" i="18"/>
  <c r="V112" i="18"/>
  <c r="V111" i="18"/>
  <c r="V110" i="18"/>
  <c r="V107" i="18"/>
  <c r="V109" i="18"/>
  <c r="V108" i="18"/>
  <c r="V114" i="18"/>
  <c r="V156" i="18"/>
  <c r="V105" i="18"/>
  <c r="W105" i="18" s="1"/>
  <c r="V106" i="18"/>
  <c r="V29" i="18"/>
  <c r="W29" i="18" s="1"/>
  <c r="V66" i="18"/>
  <c r="V103" i="18"/>
  <c r="W103" i="18" s="1"/>
  <c r="V104" i="18"/>
  <c r="V100" i="18"/>
  <c r="W100" i="18" s="1"/>
  <c r="V102" i="18"/>
  <c r="V101" i="18"/>
  <c r="V99" i="18"/>
  <c r="W99" i="18" s="1"/>
  <c r="V97" i="18"/>
  <c r="V98" i="18"/>
  <c r="V28" i="18"/>
  <c r="V27" i="18"/>
  <c r="W27" i="18" s="1"/>
  <c r="V65" i="18"/>
  <c r="V26" i="18"/>
  <c r="X26" i="18" s="1"/>
  <c r="V64" i="18"/>
  <c r="V75" i="18"/>
  <c r="V63" i="18"/>
  <c r="V96" i="18"/>
  <c r="V62" i="18"/>
  <c r="V95" i="18"/>
  <c r="V25" i="18"/>
  <c r="V94" i="18"/>
  <c r="V24" i="18"/>
  <c r="V22" i="18"/>
  <c r="V23" i="18"/>
  <c r="W23" i="18" s="1"/>
  <c r="V93" i="18"/>
  <c r="V92" i="18"/>
  <c r="V91" i="18"/>
  <c r="V21" i="18"/>
  <c r="V90" i="18"/>
  <c r="V89" i="18"/>
  <c r="V87" i="18"/>
  <c r="V88" i="18"/>
  <c r="V84" i="18"/>
  <c r="V20" i="18"/>
  <c r="V85" i="18"/>
  <c r="V86" i="18"/>
  <c r="AL72" i="18"/>
  <c r="AM73" i="18"/>
  <c r="W54" i="18" l="1"/>
  <c r="X54" i="18"/>
  <c r="W53" i="18"/>
  <c r="X52" i="18"/>
  <c r="X73" i="18"/>
  <c r="W73" i="18"/>
  <c r="W72" i="18"/>
  <c r="X72" i="18"/>
  <c r="X50" i="18"/>
  <c r="W50" i="18"/>
  <c r="W51" i="18"/>
  <c r="X51" i="18"/>
  <c r="X49" i="18"/>
  <c r="W71" i="18"/>
  <c r="X71" i="18"/>
  <c r="X47" i="18"/>
  <c r="W47" i="18"/>
  <c r="W48" i="18"/>
  <c r="X48" i="18"/>
  <c r="X46" i="18"/>
  <c r="W70" i="18"/>
  <c r="X70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27" i="18"/>
  <c r="X127" i="18" s="1"/>
  <c r="S129" i="18"/>
  <c r="V128" i="18"/>
  <c r="W128" i="18" s="1"/>
  <c r="X33" i="18"/>
  <c r="W55" i="18"/>
  <c r="X55" i="18"/>
  <c r="W34" i="18"/>
  <c r="X34" i="18"/>
  <c r="W35" i="18"/>
  <c r="X35" i="18"/>
  <c r="X36" i="18"/>
  <c r="W36" i="18"/>
  <c r="W32" i="18"/>
  <c r="X69" i="18"/>
  <c r="W69" i="18"/>
  <c r="S169" i="18"/>
  <c r="G302" i="20"/>
  <c r="K303" i="20"/>
  <c r="I303" i="20"/>
  <c r="J303" i="20"/>
  <c r="X31" i="18"/>
  <c r="W68" i="18"/>
  <c r="X68" i="18"/>
  <c r="X119" i="18"/>
  <c r="W122" i="18"/>
  <c r="X122" i="18"/>
  <c r="W124" i="18"/>
  <c r="X124" i="18"/>
  <c r="X125" i="18"/>
  <c r="W125" i="18"/>
  <c r="W123" i="18"/>
  <c r="X123" i="18"/>
  <c r="W126" i="18"/>
  <c r="X126" i="18"/>
  <c r="W120" i="18"/>
  <c r="X120" i="18"/>
  <c r="W121" i="18"/>
  <c r="X121" i="18"/>
  <c r="X30" i="18"/>
  <c r="W117" i="18"/>
  <c r="X117" i="18"/>
  <c r="W118" i="18"/>
  <c r="X118" i="18"/>
  <c r="W67" i="18"/>
  <c r="X67" i="18"/>
  <c r="W116" i="18"/>
  <c r="X116" i="18"/>
  <c r="W115" i="18"/>
  <c r="X115" i="18"/>
  <c r="X112" i="18"/>
  <c r="W112" i="18"/>
  <c r="W113" i="18"/>
  <c r="X113" i="18"/>
  <c r="W110" i="18"/>
  <c r="X110" i="18"/>
  <c r="W111" i="18"/>
  <c r="X111" i="18"/>
  <c r="W156" i="18"/>
  <c r="X156" i="18"/>
  <c r="W109" i="18"/>
  <c r="X109" i="18"/>
  <c r="X114" i="18"/>
  <c r="W114" i="18"/>
  <c r="W108" i="18"/>
  <c r="X108" i="18"/>
  <c r="W107" i="18"/>
  <c r="X107" i="18"/>
  <c r="X105" i="18"/>
  <c r="W106" i="18"/>
  <c r="X106" i="18"/>
  <c r="X29" i="18"/>
  <c r="W66" i="18"/>
  <c r="X66" i="18"/>
  <c r="X103" i="18"/>
  <c r="W104" i="18"/>
  <c r="X104" i="18"/>
  <c r="X100" i="18"/>
  <c r="W101" i="18"/>
  <c r="X101" i="18"/>
  <c r="W102" i="18"/>
  <c r="X102" i="18"/>
  <c r="X99" i="18"/>
  <c r="W98" i="18"/>
  <c r="X98" i="18"/>
  <c r="W97" i="18"/>
  <c r="X97" i="18"/>
  <c r="W28" i="18"/>
  <c r="X28" i="18"/>
  <c r="X27" i="18"/>
  <c r="W65" i="18"/>
  <c r="X65" i="18"/>
  <c r="W26" i="18"/>
  <c r="W64" i="18"/>
  <c r="X64" i="18"/>
  <c r="W63" i="18"/>
  <c r="X63" i="18"/>
  <c r="W75" i="18"/>
  <c r="X75" i="18"/>
  <c r="S168" i="18"/>
  <c r="N42" i="18" s="1"/>
  <c r="S167" i="18"/>
  <c r="U167" i="18" s="1"/>
  <c r="W96" i="18"/>
  <c r="X96" i="18"/>
  <c r="X62" i="18"/>
  <c r="W62" i="18"/>
  <c r="W89" i="18"/>
  <c r="X89" i="18"/>
  <c r="W91" i="18"/>
  <c r="X91" i="18"/>
  <c r="W94" i="18"/>
  <c r="X94" i="18"/>
  <c r="W86" i="18"/>
  <c r="X86" i="18"/>
  <c r="W92" i="18"/>
  <c r="X92" i="18"/>
  <c r="X23" i="18"/>
  <c r="W25" i="18"/>
  <c r="X25" i="18"/>
  <c r="W20" i="18"/>
  <c r="X20" i="18"/>
  <c r="W88" i="18"/>
  <c r="X88" i="18"/>
  <c r="W22" i="18"/>
  <c r="X22" i="18"/>
  <c r="X95" i="18"/>
  <c r="W95" i="18"/>
  <c r="W85" i="18"/>
  <c r="X85" i="18"/>
  <c r="W84" i="18"/>
  <c r="X84" i="18"/>
  <c r="W90" i="18"/>
  <c r="X90" i="18"/>
  <c r="W87" i="18"/>
  <c r="X87" i="18"/>
  <c r="X21" i="18"/>
  <c r="W21" i="18"/>
  <c r="W93" i="18"/>
  <c r="X93" i="18"/>
  <c r="W24" i="18"/>
  <c r="X24" i="18"/>
  <c r="AL71" i="18"/>
  <c r="AM72" i="18"/>
  <c r="W127" i="18" l="1"/>
  <c r="X128" i="18"/>
  <c r="S130" i="18"/>
  <c r="V129" i="18"/>
  <c r="N76" i="18"/>
  <c r="U169" i="18"/>
  <c r="L21" i="18"/>
  <c r="G301" i="20"/>
  <c r="I302" i="20"/>
  <c r="K302" i="20"/>
  <c r="J302" i="20"/>
  <c r="U168" i="18"/>
  <c r="V168" i="18" s="1"/>
  <c r="AL70" i="18"/>
  <c r="AM71" i="18"/>
  <c r="X129" i="18" l="1"/>
  <c r="W129" i="18"/>
  <c r="S131" i="18"/>
  <c r="V130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0" i="18" l="1"/>
  <c r="X130" i="18"/>
  <c r="S132" i="18"/>
  <c r="S133" i="18" s="1"/>
  <c r="V131" i="18"/>
  <c r="G299" i="20"/>
  <c r="I300" i="20"/>
  <c r="K300" i="20"/>
  <c r="J300" i="20"/>
  <c r="AL68" i="18"/>
  <c r="AM69" i="18"/>
  <c r="N2" i="33"/>
  <c r="W131" i="18" l="1"/>
  <c r="X131" i="18"/>
  <c r="V132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2" i="18" l="1"/>
  <c r="W132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55" i="14"/>
  <c r="B56" i="14"/>
  <c r="S134" i="18" l="1"/>
  <c r="V133" i="18"/>
  <c r="I297" i="20"/>
  <c r="K297" i="20"/>
  <c r="J297" i="20"/>
  <c r="G296" i="20"/>
  <c r="AL65" i="18"/>
  <c r="AM66" i="18"/>
  <c r="X133" i="18" l="1"/>
  <c r="W133" i="18"/>
  <c r="S135" i="18"/>
  <c r="V134" i="18"/>
  <c r="G295" i="20"/>
  <c r="K296" i="20"/>
  <c r="I296" i="20"/>
  <c r="J296" i="20"/>
  <c r="AL64" i="18"/>
  <c r="AM65" i="18"/>
  <c r="W134" i="18" l="1"/>
  <c r="X134" i="18"/>
  <c r="S136" i="18"/>
  <c r="V135" i="18"/>
  <c r="G294" i="20"/>
  <c r="K295" i="20"/>
  <c r="J295" i="20"/>
  <c r="I295" i="20"/>
  <c r="AM64" i="18"/>
  <c r="AL63" i="18"/>
  <c r="E43" i="14"/>
  <c r="G43" i="14" s="1"/>
  <c r="W135" i="18" l="1"/>
  <c r="X135" i="18"/>
  <c r="V136" i="18"/>
  <c r="S137" i="18"/>
  <c r="G293" i="20"/>
  <c r="I294" i="20"/>
  <c r="J294" i="20"/>
  <c r="K294" i="20"/>
  <c r="AL62" i="18"/>
  <c r="AM63" i="18"/>
  <c r="E42" i="14"/>
  <c r="G42" i="14" s="1"/>
  <c r="S138" i="18" l="1"/>
  <c r="S139" i="18" s="1"/>
  <c r="V137" i="18"/>
  <c r="W136" i="18"/>
  <c r="X136" i="18"/>
  <c r="G292" i="20"/>
  <c r="K293" i="20"/>
  <c r="J293" i="20"/>
  <c r="I293" i="20"/>
  <c r="AL61" i="18"/>
  <c r="AM62" i="18"/>
  <c r="E41" i="14"/>
  <c r="G41" i="14" s="1"/>
  <c r="V138" i="18" l="1"/>
  <c r="X138" i="18" s="1"/>
  <c r="X137" i="18"/>
  <c r="W137" i="18"/>
  <c r="J292" i="20"/>
  <c r="I292" i="20"/>
  <c r="G291" i="20"/>
  <c r="K292" i="20"/>
  <c r="AM61" i="18"/>
  <c r="AL60" i="18"/>
  <c r="E40" i="14"/>
  <c r="G40" i="14" s="1"/>
  <c r="W138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9" i="18" l="1"/>
  <c r="W139" i="18" s="1"/>
  <c r="S140" i="18"/>
  <c r="J290" i="20"/>
  <c r="G289" i="20"/>
  <c r="I290" i="20"/>
  <c r="K290" i="20"/>
  <c r="AM59" i="18"/>
  <c r="AL58" i="18"/>
  <c r="E38" i="14"/>
  <c r="G38" i="14" s="1"/>
  <c r="X139" i="18" l="1"/>
  <c r="S141" i="18"/>
  <c r="S142" i="18" s="1"/>
  <c r="S143" i="18" s="1"/>
  <c r="S144" i="18" s="1"/>
  <c r="S145" i="18" s="1"/>
  <c r="V140" i="18"/>
  <c r="G288" i="20"/>
  <c r="K289" i="20"/>
  <c r="J289" i="20"/>
  <c r="I289" i="20"/>
  <c r="AL57" i="18"/>
  <c r="AM58" i="18"/>
  <c r="E37" i="14"/>
  <c r="G37" i="14" s="1"/>
  <c r="V143" i="18" l="1"/>
  <c r="W140" i="18"/>
  <c r="X140" i="18"/>
  <c r="V141" i="18"/>
  <c r="J288" i="20"/>
  <c r="K288" i="20"/>
  <c r="G287" i="20"/>
  <c r="I288" i="20"/>
  <c r="AL56" i="18"/>
  <c r="AM57" i="18"/>
  <c r="E36" i="14"/>
  <c r="G36" i="14" s="1"/>
  <c r="B105" i="13"/>
  <c r="W143" i="18" l="1"/>
  <c r="X143" i="18"/>
  <c r="W141" i="18"/>
  <c r="X141" i="18"/>
  <c r="V142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42" i="18" l="1"/>
  <c r="X142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44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44" i="18" l="1"/>
  <c r="X144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45" i="18" l="1"/>
  <c r="W145" i="18" s="1"/>
  <c r="S146" i="18"/>
  <c r="S147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5" i="14"/>
  <c r="G55" i="14" s="1"/>
  <c r="F2" i="14"/>
  <c r="E31" i="14"/>
  <c r="E249" i="15"/>
  <c r="D170" i="20"/>
  <c r="S148" i="18" l="1"/>
  <c r="V147" i="18"/>
  <c r="X145" i="18"/>
  <c r="V146" i="18"/>
  <c r="K280" i="20"/>
  <c r="G279" i="20"/>
  <c r="J280" i="20"/>
  <c r="I280" i="20"/>
  <c r="AL48" i="18"/>
  <c r="AM49" i="18"/>
  <c r="E30" i="14"/>
  <c r="G31" i="14"/>
  <c r="E248" i="15"/>
  <c r="V148" i="18" l="1"/>
  <c r="X148" i="18" s="1"/>
  <c r="S149" i="18"/>
  <c r="W147" i="18"/>
  <c r="X147" i="18"/>
  <c r="W146" i="18"/>
  <c r="X146" i="18"/>
  <c r="J279" i="20"/>
  <c r="I279" i="20"/>
  <c r="G278" i="20"/>
  <c r="K279" i="20"/>
  <c r="AL47" i="18"/>
  <c r="AM48" i="18"/>
  <c r="E29" i="14"/>
  <c r="G30" i="14"/>
  <c r="E247" i="15"/>
  <c r="E246" i="15"/>
  <c r="W148" i="18" l="1"/>
  <c r="V149" i="18"/>
  <c r="X149" i="18" s="1"/>
  <c r="S150" i="18"/>
  <c r="S151" i="18" s="1"/>
  <c r="J278" i="20"/>
  <c r="I278" i="20"/>
  <c r="G277" i="20"/>
  <c r="K278" i="20"/>
  <c r="AL46" i="18"/>
  <c r="AM47" i="18"/>
  <c r="E28" i="14"/>
  <c r="G29" i="14"/>
  <c r="E245" i="15"/>
  <c r="W149" i="18" l="1"/>
  <c r="V150" i="18"/>
  <c r="W150" i="18" s="1"/>
  <c r="J277" i="20"/>
  <c r="I277" i="20"/>
  <c r="G276" i="20"/>
  <c r="K277" i="20"/>
  <c r="AM46" i="18"/>
  <c r="AL45" i="18"/>
  <c r="E27" i="14"/>
  <c r="G28" i="14"/>
  <c r="N15" i="33"/>
  <c r="E244" i="15"/>
  <c r="X150" i="18" l="1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S152" i="18" l="1"/>
  <c r="V151" i="18"/>
  <c r="G274" i="20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V152" i="18" l="1"/>
  <c r="X152" i="18" s="1"/>
  <c r="S153" i="18"/>
  <c r="W151" i="18"/>
  <c r="X151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V153" i="18" l="1"/>
  <c r="W153" i="18" s="1"/>
  <c r="S154" i="18"/>
  <c r="W152" i="18"/>
  <c r="G272" i="20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V154" i="18" l="1"/>
  <c r="S155" i="18"/>
  <c r="V155" i="18" s="1"/>
  <c r="X153" i="18"/>
  <c r="X154" i="18"/>
  <c r="W154" i="18"/>
  <c r="J272" i="20"/>
  <c r="K272" i="20"/>
  <c r="I272" i="20"/>
  <c r="G271" i="20"/>
  <c r="AM41" i="18"/>
  <c r="AL40" i="18"/>
  <c r="E22" i="14"/>
  <c r="G23" i="14"/>
  <c r="I2" i="43"/>
  <c r="I25" i="43" s="1"/>
  <c r="I30" i="43" s="1"/>
  <c r="D24" i="43"/>
  <c r="W155" i="18" l="1"/>
  <c r="X155" i="18"/>
  <c r="G270" i="20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51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51" i="18"/>
  <c r="E172" i="13"/>
  <c r="G173" i="13"/>
  <c r="D62" i="38"/>
  <c r="AJ156" i="18" l="1"/>
  <c r="AJ160" i="18" s="1"/>
  <c r="J249" i="20"/>
  <c r="I249" i="20"/>
  <c r="K249" i="20"/>
  <c r="G248" i="20"/>
  <c r="F244" i="15"/>
  <c r="D243" i="15"/>
  <c r="AJ159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9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8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9" i="18" l="1"/>
  <c r="F24" i="18" s="1"/>
  <c r="G113" i="20"/>
  <c r="J114" i="20"/>
  <c r="I114" i="20"/>
  <c r="K114" i="20"/>
  <c r="L80" i="18"/>
  <c r="E33" i="13"/>
  <c r="G34" i="13"/>
  <c r="F108" i="15"/>
  <c r="C20" i="18"/>
  <c r="G20" i="14"/>
  <c r="G21" i="14"/>
  <c r="G112" i="20" l="1"/>
  <c r="K113" i="20"/>
  <c r="J113" i="20"/>
  <c r="I113" i="20"/>
  <c r="L8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6" i="14"/>
  <c r="G59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67" i="18"/>
  <c r="V16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<sst xmlns="http://schemas.openxmlformats.org/spreadsheetml/2006/main" count="11515" uniqueCount="4966">
  <si>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</si>
  <si>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</si>
  <si>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</si>
  <si>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</si>
  <si>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</si>
  <si>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</si>
  <si>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</si>
  <si>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</si>
  <si>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</si>
  <si>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</si>
  <si>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</si>
  <si>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</si>
  <si>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</si>
  <si>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</si>
  <si>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</si>
  <si>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</si>
  <si>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</si>
  <si>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</si>
  <si>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</si>
  <si>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</si>
  <si>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</si>
  <si>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</si>
  <si>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</si>
  <si>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</si>
  <si>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</si>
  <si>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</si>
  <si>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</si>
  <si>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</si>
  <si>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</si>
  <si>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</si>
  <si>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</si>
  <si>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</si>
  <si>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</si>
  <si>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</si>
  <si>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</si>
  <si>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</si>
  <si>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</si>
  <si>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</si>
  <si>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</si>
  <si>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</si>
  <si>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</si>
  <si>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</si>
  <si>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</si>
  <si>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</si>
  <si>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</si>
  <si>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</si>
  <si>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</si>
  <si>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</si>
  <si>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</si>
  <si>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</si>
  <si>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</si>
  <si>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</si>
  <si>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</si>
  <si>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</si>
  <si>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</si>
  <si>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</si>
  <si>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</si>
  <si>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</si>
  <si>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</si>
  <si>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</si>
  <si>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</si>
  <si>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</si>
  <si>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</si>
  <si>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</si>
  <si>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</si>
  <si>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</si>
  <si>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</si>
  <si>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</si>
  <si>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</si>
  <si>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</si>
  <si>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</si>
  <si>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</si>
  <si>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</si>
  <si>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</si>
  <si>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</si>
  <si>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</si>
  <si>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</si>
  <si>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</si>
  <si>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</si>
  <si>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</si>
  <si>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</si>
  <si>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</si>
  <si>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</si>
  <si>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</si>
  <si>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</si>
  <si>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</si>
  <si>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</si>
  <si>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</si>
  <si>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</si>
  <si>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</si>
  <si>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</si>
  <si>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</si>
  <si>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</si>
  <si>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</si>
  <si>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</si>
  <si>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</si>
  <si>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</si>
  <si>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</si>
  <si>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</si>
  <si>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</si>
  <si>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</si>
  <si>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</si>
  <si>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</si>
  <si>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</si>
  <si>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</si>
  <si>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</si>
  <si>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</si>
  <si>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</si>
  <si>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</si>
  <si>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</si>
  <si>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</si>
  <si>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</si>
  <si>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</si>
  <si>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</si>
  <si>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</si>
  <si>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</si>
  <si>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</si>
  <si>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</si>
  <si>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</si>
  <si>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</si>
  <si>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</si>
  <si>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</si>
  <si>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</si>
  <si>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</si>
  <si>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</si>
  <si>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</si>
  <si>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</si>
  <si>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</si>
  <si>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</si>
  <si>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</si>
  <si>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</si>
  <si>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</si>
  <si>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</si>
  <si>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</si>
  <si>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</si>
  <si>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</si>
  <si>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</si>
  <si>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</si>
  <si>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</si>
  <si>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</si>
  <si>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</si>
  <si>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</si>
  <si>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</si>
  <si>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</si>
  <si>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</si>
  <si>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</si>
  <si>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</si>
  <si>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</si>
  <si>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</si>
  <si>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</si>
  <si>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</si>
  <si>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</si>
  <si>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</si>
  <si>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</si>
  <si>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</si>
  <si>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</si>
  <si>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</si>
  <si>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</si>
  <si>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</si>
  <si>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</si>
  <si>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</si>
  <si>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</si>
  <si>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</si>
  <si>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</si>
  <si>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</si>
  <si>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</si>
  <si>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</si>
  <si>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</si>
  <si>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</si>
  <si>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</si>
  <si>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</si>
  <si>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</si>
  <si>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</si>
  <si>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</si>
  <si>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</si>
  <si>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</si>
  <si>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</si>
  <si>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</si>
  <si>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</si>
  <si>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</si>
  <si>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</si>
  <si>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</si>
  <si>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</si>
  <si>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</si>
  <si>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</si>
  <si>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</si>
  <si>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</si>
  <si>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</si>
  <si>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</si>
  <si>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</si>
  <si>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</si>
  <si>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</si>
  <si>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</si>
  <si>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</si>
  <si>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</si>
  <si>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</si>
  <si>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</si>
  <si>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</si>
  <si>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</si>
  <si>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</si>
  <si>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</si>
  <si>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</si>
  <si>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</si>
  <si>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</si>
  <si>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</si>
  <si>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</si>
  <si>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</si>
  <si>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</si>
  <si>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</si>
  <si>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</si>
  <si>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</si>
  <si>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</si>
  <si>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</si>
  <si>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</si>
  <si>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</si>
  <si>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</si>
  <si>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</si>
  <si>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</si>
  <si>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</si>
  <si>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</si>
  <si>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</si>
  <si>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</si>
  <si>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</si>
  <si>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</si>
  <si>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</si>
  <si>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</si>
  <si>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</si>
  <si>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</si>
  <si>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</si>
  <si>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</si>
  <si>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</si>
  <si>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</si>
  <si>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</si>
  <si>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</si>
  <si>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</si>
  <si>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</si>
  <si>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</si>
  <si>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</si>
  <si>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</si>
  <si>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</si>
  <si>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</si>
  <si>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</si>
  <si>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</si>
  <si>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</si>
  <si>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</si>
  <si>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</si>
  <si>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</si>
  <si>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</si>
  <si>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</si>
  <si>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</si>
  <si>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</si>
  <si>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</si>
  <si>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</si>
  <si>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</si>
  <si>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</si>
  <si>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</si>
  <si>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</si>
  <si>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</si>
  <si>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</si>
  <si>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</si>
  <si>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</si>
  <si>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</si>
  <si>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</si>
  <si>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</si>
  <si>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</si>
  <si>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</si>
  <si>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</si>
  <si>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</si>
  <si>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</si>
  <si>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</si>
  <si>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</si>
  <si>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</si>
  <si>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</si>
  <si>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</si>
  <si>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</si>
  <si>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</si>
  <si>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</si>
  <si>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</si>
  <si>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</si>
  <si>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</si>
  <si>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</si>
  <si>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</si>
  <si>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</si>
  <si>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</si>
  <si>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</si>
  <si>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</si>
  <si>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</si>
  <si>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</si>
  <si>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</si>
  <si>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</si>
  <si>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</si>
  <si>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</si>
  <si>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</si>
  <si>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</si>
  <si>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</si>
  <si>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</si>
  <si>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</si>
  <si>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</si>
  <si>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</si>
  <si>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</si>
  <si>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</si>
  <si>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</si>
  <si>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</si>
  <si>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</si>
  <si>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</si>
  <si>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</si>
  <si>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</si>
  <si>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</si>
  <si>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</si>
  <si>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</si>
  <si>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</si>
  <si>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</si>
  <si>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</si>
  <si>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</si>
  <si>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</si>
  <si>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</si>
  <si>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</si>
  <si>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</si>
  <si>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</si>
  <si>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</si>
  <si>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</si>
  <si>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</si>
  <si>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</si>
  <si>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</si>
  <si>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</si>
  <si>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</si>
  <si>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</si>
  <si>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</si>
  <si>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</si>
  <si>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</si>
  <si>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</si>
  <si>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</si>
  <si>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</si>
  <si>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</si>
  <si>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</si>
  <si>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</si>
  <si>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</si>
  <si>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</si>
  <si>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</si>
  <si>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</si>
  <si>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</si>
  <si>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</si>
  <si>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</si>
  <si>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</si>
  <si>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</si>
  <si>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</si>
  <si>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</si>
  <si>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</si>
  <si>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</si>
  <si>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</si>
  <si>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</si>
  <si>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</si>
  <si>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</si>
  <si>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</si>
  <si>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</si>
  <si>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</si>
  <si>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</si>
  <si>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</si>
  <si>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</si>
  <si>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</si>
  <si>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</si>
  <si>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</si>
  <si>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</si>
  <si>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</si>
  <si>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</si>
  <si>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</si>
  <si>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</si>
  <si>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</si>
  <si>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</si>
  <si>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</si>
  <si>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</si>
  <si>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</si>
  <si>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</si>
  <si>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</si>
  <si>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</si>
  <si>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</si>
  <si>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</si>
  <si>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</si>
  <si>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</si>
  <si>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</si>
  <si>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</si>
  <si>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</si>
  <si>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</si>
  <si>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</si>
  <si>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</si>
  <si>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</si>
  <si>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</si>
  <si>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</si>
  <si>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</si>
  <si>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</si>
  <si>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</si>
  <si>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</si>
  <si>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</si>
  <si>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</si>
  <si>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</si>
  <si>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</si>
  <si>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</si>
  <si>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</si>
  <si>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</si>
  <si>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</si>
  <si>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</si>
  <si>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</si>
  <si>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</si>
  <si>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</si>
  <si>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</si>
  <si>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</si>
  <si>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</si>
  <si>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</si>
  <si>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</si>
  <si>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</si>
  <si>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</si>
  <si>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</si>
  <si>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</si>
  <si>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</si>
  <si>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</si>
  <si>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</si>
  <si>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</si>
  <si>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</si>
  <si>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</si>
  <si>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</si>
  <si>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</si>
  <si>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</si>
  <si>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</si>
  <si>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</si>
  <si>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</si>
  <si>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</si>
  <si>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</si>
  <si>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</si>
  <si>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</si>
  <si>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</si>
  <si>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</si>
  <si>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</si>
  <si>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</si>
  <si>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</si>
  <si>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</si>
  <si>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</si>
  <si>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</si>
  <si>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</si>
  <si>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</si>
  <si>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</si>
  <si>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</si>
  <si>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</si>
  <si>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</si>
  <si>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</si>
  <si>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</si>
  <si>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</si>
  <si>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</si>
  <si>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</si>
  <si>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</si>
  <si>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</si>
  <si>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</si>
  <si>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</si>
  <si>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</si>
  <si>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</si>
  <si>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</si>
  <si>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</si>
  <si>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</si>
  <si>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</si>
  <si>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</si>
  <si>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</si>
  <si>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</si>
  <si>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</si>
  <si>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</si>
  <si>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</si>
  <si>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</si>
  <si>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</si>
  <si>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</si>
  <si>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</si>
  <si>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</si>
  <si>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</si>
  <si>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</si>
  <si>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</si>
  <si>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</si>
  <si>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</si>
  <si>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</si>
  <si>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</si>
  <si>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</si>
  <si>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</si>
  <si>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</si>
  <si>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</si>
  <si>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</si>
  <si>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</si>
  <si>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</si>
  <si>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</si>
  <si>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</si>
  <si>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</si>
  <si>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</si>
  <si>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</si>
  <si>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</si>
  <si>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</si>
  <si>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</si>
  <si>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</si>
  <si>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</si>
  <si>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</si>
  <si>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</si>
  <si>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</si>
  <si>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</si>
  <si>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</si>
  <si>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</si>
  <si>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</si>
  <si>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</si>
  <si>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</si>
  <si>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</si>
  <si>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</si>
  <si>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</si>
  <si>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</si>
  <si>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</si>
  <si>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</si>
  <si>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</si>
  <si>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</si>
  <si>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</si>
  <si>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</si>
  <si>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</si>
  <si>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</si>
  <si>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</si>
  <si>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</si>
  <si>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</si>
  <si>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</si>
  <si>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</si>
  <si>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</si>
  <si>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</si>
  <si>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</si>
  <si>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</si>
  <si>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</si>
  <si>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</si>
  <si>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</si>
  <si>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</si>
  <si>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</si>
  <si>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</si>
  <si>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</si>
  <si>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</si>
  <si>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</si>
  <si>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</si>
  <si>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</si>
  <si>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</si>
  <si>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</si>
  <si>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</si>
  <si>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</si>
  <si>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</si>
  <si>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</si>
  <si>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</si>
  <si>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</si>
  <si>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</si>
  <si>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</si>
  <si>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</si>
  <si>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</si>
  <si>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</si>
  <si>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</si>
  <si>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</si>
  <si>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</si>
  <si>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</si>
  <si>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</si>
  <si>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</si>
  <si>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</si>
  <si>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</si>
  <si>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</si>
  <si>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</si>
  <si>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</si>
  <si>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</si>
  <si>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</si>
  <si>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</si>
  <si>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</si>
  <si>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</si>
  <si>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</si>
  <si>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</si>
  <si>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</si>
  <si>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</si>
  <si>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</si>
  <si>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</si>
  <si>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</si>
  <si>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</si>
  <si>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</si>
  <si>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</si>
  <si>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</si>
  <si>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</si>
  <si>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</si>
  <si>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</si>
  <si>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</si>
  <si>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</si>
  <si>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</si>
  <si>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</si>
  <si>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</si>
  <si>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</si>
  <si>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</si>
  <si>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</si>
  <si>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</si>
  <si>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</si>
  <si>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</si>
  <si>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</si>
  <si>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</si>
  <si>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</si>
  <si>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</si>
  <si>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</si>
  <si>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</si>
  <si>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</si>
  <si>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</si>
  <si>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</si>
  <si>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</si>
  <si>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</si>
  <si>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</si>
  <si>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</si>
  <si>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</si>
  <si>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</si>
  <si>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</si>
  <si>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</si>
  <si>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</si>
  <si>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</si>
  <si>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</si>
  <si>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</si>
  <si>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</si>
  <si>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</si>
  <si>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</si>
  <si>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</si>
  <si>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</si>
  <si>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</si>
  <si>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</si>
  <si>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</si>
  <si>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</si>
  <si>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</si>
  <si>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</si>
  <si>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</si>
  <si>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</si>
  <si>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</si>
  <si>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</si>
  <si>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</si>
  <si>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</si>
  <si>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</si>
  <si>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</si>
  <si>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</si>
  <si>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</si>
  <si>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</si>
  <si>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</si>
  <si>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</si>
  <si>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</si>
  <si>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</si>
  <si>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</si>
  <si>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</si>
  <si>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</si>
  <si>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</si>
  <si>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</si>
  <si>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</si>
  <si>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</si>
  <si>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</si>
  <si>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</si>
  <si>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</si>
  <si>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</si>
  <si>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</si>
  <si>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</si>
  <si>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</si>
  <si>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</si>
  <si>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</si>
  <si>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</si>
  <si>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</si>
  <si>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</si>
  <si>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</si>
  <si>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</si>
  <si>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</si>
  <si>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</si>
  <si>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</si>
  <si>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</si>
  <si>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</si>
  <si>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</si>
  <si>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</si>
  <si>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</si>
  <si>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</si>
  <si>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</si>
  <si>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</si>
  <si>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</si>
  <si>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</si>
  <si>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</si>
  <si>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</si>
  <si>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</si>
  <si>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</si>
  <si>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</si>
  <si>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</si>
  <si>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</si>
  <si>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</si>
  <si>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</si>
  <si>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</si>
  <si>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</si>
  <si>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</si>
  <si>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</si>
  <si>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</si>
  <si>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</si>
  <si>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</si>
  <si>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</si>
  <si>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</si>
  <si>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</si>
  <si>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</si>
  <si>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</si>
  <si>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</si>
  <si>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</si>
  <si>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</si>
  <si>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</si>
  <si>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</si>
  <si>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</si>
  <si>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</si>
  <si>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</si>
  <si>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</si>
  <si>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</si>
  <si>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</si>
  <si>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</si>
  <si>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</si>
  <si>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</si>
  <si>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</si>
  <si>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</si>
  <si>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</si>
  <si>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</si>
  <si>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</si>
  <si>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</si>
  <si>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</si>
  <si>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</si>
  <si>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</si>
  <si>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</si>
  <si>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</si>
  <si>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</si>
  <si>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</si>
  <si>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</si>
  <si>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</si>
  <si>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</si>
  <si>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</si>
  <si>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</si>
  <si>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</si>
  <si>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</si>
  <si>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</si>
  <si>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</si>
  <si>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</si>
  <si>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</si>
  <si>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</si>
  <si>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</si>
  <si>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</si>
  <si>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</si>
  <si>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</si>
  <si>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</si>
  <si>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</si>
  <si>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</si>
  <si>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</si>
  <si>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</si>
  <si>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</si>
  <si>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</si>
  <si>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</si>
  <si>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</si>
  <si>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</si>
  <si>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</si>
  <si>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</si>
  <si>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</si>
  <si>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</si>
  <si>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</si>
  <si>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</si>
  <si>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</si>
  <si>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</si>
  <si>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</si>
  <si>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</si>
  <si>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</si>
  <si>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</si>
  <si>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</si>
  <si>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</si>
  <si>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</si>
  <si>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</si>
  <si>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</si>
  <si>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</si>
  <si>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</si>
  <si>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</si>
  <si>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</si>
  <si>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</si>
  <si>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</si>
  <si>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</si>
  <si>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</si>
  <si>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</si>
  <si>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</si>
  <si>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</si>
  <si>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</si>
  <si>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</si>
  <si>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</si>
  <si>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</si>
  <si>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</si>
  <si>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</si>
  <si>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</si>
  <si>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</si>
  <si>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</si>
  <si>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</si>
  <si>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</si>
  <si>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</si>
  <si>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</si>
  <si>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</si>
  <si>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</si>
  <si>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</si>
  <si>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</si>
  <si>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</si>
  <si>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</si>
  <si>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</si>
  <si>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</si>
  <si>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</si>
  <si>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</si>
  <si>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</si>
  <si>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</si>
  <si>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</si>
  <si>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</si>
  <si>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</si>
  <si>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</si>
  <si>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</si>
  <si>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</si>
  <si>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</si>
  <si>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</si>
  <si>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</si>
  <si>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</si>
  <si>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</si>
  <si>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</si>
  <si>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</si>
  <si>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</si>
  <si>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</si>
  <si>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</si>
  <si>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</si>
  <si>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</si>
  <si>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</si>
  <si>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</si>
  <si>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</si>
  <si>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</si>
  <si>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</si>
  <si>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</si>
  <si>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</si>
  <si>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</si>
  <si>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</si>
  <si>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</si>
  <si>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</si>
  <si>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</si>
  <si>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</si>
  <si>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</si>
  <si>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</si>
  <si>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</si>
  <si>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</si>
  <si>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</si>
  <si>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</si>
  <si>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</si>
  <si>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</si>
  <si>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</si>
  <si>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</si>
  <si>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</si>
  <si>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</si>
  <si>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</si>
  <si>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</si>
  <si>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</si>
  <si>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</si>
  <si>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</si>
  <si>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</si>
  <si>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</si>
  <si>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</si>
  <si>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</si>
  <si>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</si>
  <si>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</si>
  <si>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</si>
  <si>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</si>
  <si>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</si>
  <si>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</si>
  <si>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</si>
  <si>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</si>
  <si>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</si>
  <si>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</si>
  <si>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</si>
  <si>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</si>
  <si>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</si>
  <si>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</si>
  <si>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</si>
  <si>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</si>
  <si>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</si>
  <si>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</si>
  <si>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</si>
  <si>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</si>
  <si>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</si>
  <si>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</si>
  <si>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</si>
  <si>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</si>
  <si>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</si>
  <si>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</si>
  <si>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</si>
  <si>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</si>
  <si>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</si>
  <si>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</si>
  <si>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</si>
  <si>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</si>
  <si>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</si>
  <si>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</si>
  <si>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</si>
  <si>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</si>
  <si>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</si>
  <si>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</si>
  <si>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</si>
  <si>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</si>
  <si>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</si>
  <si>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</si>
  <si>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</si>
  <si>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</si>
  <si>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</si>
  <si>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</si>
  <si>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</si>
  <si>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</si>
  <si>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</si>
  <si>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</si>
  <si>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</si>
  <si>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</si>
  <si>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</si>
  <si>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</si>
  <si>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</si>
  <si>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</si>
  <si>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</si>
  <si>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</si>
  <si>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</si>
  <si>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</si>
  <si>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</si>
  <si>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</si>
  <si>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</si>
  <si>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</si>
  <si>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</si>
  <si>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</si>
  <si>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</si>
  <si>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</si>
  <si>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</si>
  <si>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</si>
  <si>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</si>
  <si>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</si>
  <si>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</si>
  <si>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</si>
  <si>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</si>
  <si>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</si>
  <si>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</si>
  <si>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</si>
  <si>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</si>
  <si>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</si>
  <si>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</si>
  <si>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</si>
  <si>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</si>
  <si>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</si>
  <si>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</si>
  <si>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</si>
  <si>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</si>
  <si>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</si>
  <si>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</si>
  <si>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</si>
  <si>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</si>
  <si>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</si>
  <si>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</si>
  <si>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</si>
  <si>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</si>
  <si>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</si>
  <si>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</si>
  <si>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</si>
  <si>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</si>
  <si>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</si>
  <si>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</si>
  <si>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</si>
  <si>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</si>
  <si>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</si>
  <si>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</si>
  <si>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</si>
  <si>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</si>
  <si>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</si>
  <si>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</si>
  <si>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</si>
  <si>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</si>
  <si>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</si>
  <si>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</si>
  <si>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</si>
  <si>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</si>
  <si>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</si>
  <si>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</si>
  <si>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</si>
  <si>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</si>
  <si>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</si>
  <si>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</si>
  <si>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</si>
  <si>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</si>
  <si>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</si>
  <si>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</si>
  <si>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</si>
  <si>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</si>
  <si>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</si>
  <si>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</si>
  <si>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</si>
  <si>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</si>
  <si>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</si>
  <si>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</si>
  <si>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</si>
  <si>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</si>
  <si>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</si>
  <si>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</si>
  <si>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</si>
  <si>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</si>
  <si>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</si>
  <si>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</si>
  <si>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</si>
  <si>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</si>
  <si>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</si>
  <si>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</si>
  <si>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</si>
  <si>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</si>
  <si>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</si>
  <si>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</si>
  <si>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</si>
  <si>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</si>
  <si>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</si>
  <si>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</si>
  <si>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</si>
  <si>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</si>
  <si>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</si>
  <si>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</si>
  <si>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</si>
  <si>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</si>
  <si>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</si>
  <si>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</si>
  <si>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</si>
  <si>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</si>
  <si>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</si>
  <si>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</si>
  <si>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</si>
  <si>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</si>
  <si>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</si>
  <si>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</si>
  <si>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</si>
  <si>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</si>
  <si>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</si>
  <si>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</si>
  <si>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</si>
  <si>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</si>
  <si>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</si>
  <si>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</si>
  <si>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</si>
  <si>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</si>
  <si>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</si>
  <si>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</si>
  <si>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</si>
  <si>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</si>
  <si>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</si>
  <si>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</si>
  <si>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</si>
  <si>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</si>
  <si>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</si>
  <si>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</si>
  <si>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</si>
  <si>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</si>
  <si>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</si>
  <si>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</si>
  <si>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</si>
  <si>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</si>
  <si>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</si>
  <si>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</si>
  <si>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</si>
  <si>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</si>
  <si>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</si>
  <si>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</si>
  <si>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</si>
  <si>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</si>
  <si>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</si>
  <si>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</si>
  <si>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</si>
  <si>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</si>
  <si>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</si>
  <si>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</si>
  <si>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</si>
  <si>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</si>
  <si>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</si>
  <si>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</si>
  <si>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</si>
  <si>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</si>
  <si>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</si>
  <si>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</si>
  <si>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</si>
  <si>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</si>
  <si>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</si>
  <si>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</si>
  <si>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</si>
  <si>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</si>
  <si>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</si>
  <si>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</si>
  <si>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</si>
  <si>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</si>
  <si>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</si>
  <si>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</si>
  <si>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</si>
  <si>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</si>
  <si>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</si>
  <si>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</si>
  <si>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</si>
  <si>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</si>
  <si>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</si>
  <si>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</si>
  <si>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</si>
  <si>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</si>
  <si>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</si>
  <si>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</si>
  <si>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</si>
  <si>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</si>
  <si>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</si>
  <si>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</si>
  <si>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</si>
  <si>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</si>
  <si>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</si>
  <si>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</si>
  <si>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</si>
  <si>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</si>
  <si>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</si>
  <si>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</si>
  <si>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</si>
  <si>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</si>
  <si>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</si>
  <si>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</si>
  <si>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</si>
  <si>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</si>
  <si>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</si>
  <si>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</si>
  <si>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</si>
  <si>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</si>
  <si>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</si>
  <si>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</si>
  <si>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</si>
  <si>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</si>
  <si>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</si>
  <si>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</si>
  <si>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</si>
  <si>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</si>
  <si>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</si>
  <si>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</si>
  <si>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</si>
  <si>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</si>
  <si>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</si>
  <si>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</si>
  <si>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</si>
  <si>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</si>
  <si>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</si>
  <si>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</si>
  <si>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</si>
  <si>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</si>
  <si>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</si>
  <si>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</si>
  <si>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</si>
  <si>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</si>
  <si>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</si>
  <si>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</si>
  <si>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</si>
  <si>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</si>
  <si>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</si>
  <si>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</si>
  <si>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</si>
  <si>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</si>
  <si>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</si>
  <si>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</si>
  <si>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</si>
  <si>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</si>
  <si>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</si>
  <si>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</si>
  <si>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</si>
  <si>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</si>
  <si>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</si>
  <si>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</si>
  <si>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</si>
  <si>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</si>
  <si>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</si>
  <si>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</si>
  <si>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</si>
  <si>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</si>
  <si>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</si>
  <si>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</si>
  <si>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</si>
  <si>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</si>
  <si>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</si>
  <si>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</si>
  <si>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</si>
  <si>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</si>
  <si>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</si>
  <si>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</si>
  <si>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</si>
  <si>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</si>
  <si>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</si>
  <si>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</si>
  <si>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</si>
  <si>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</si>
  <si>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</si>
  <si>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</si>
  <si>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</si>
  <si>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</si>
  <si>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</si>
  <si>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</si>
  <si>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</si>
  <si>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</si>
  <si>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</si>
  <si>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</si>
  <si>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</si>
  <si>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</si>
  <si>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</si>
  <si>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</si>
  <si>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</si>
  <si>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</si>
  <si>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</si>
  <si>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</si>
  <si>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</si>
  <si>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</si>
  <si>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</si>
  <si>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</si>
  <si>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</si>
  <si>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</si>
  <si>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</si>
  <si>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</si>
  <si>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</si>
  <si>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</si>
  <si>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</si>
  <si>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</si>
  <si>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</si>
  <si>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</si>
  <si>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</si>
  <si>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</si>
  <si>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</si>
  <si>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</si>
  <si>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</si>
  <si>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</si>
  <si>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</si>
  <si>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</si>
  <si>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</si>
  <si>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</si>
  <si>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</si>
  <si>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</si>
  <si>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</si>
  <si>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</si>
  <si>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</si>
  <si>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</si>
  <si>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</si>
  <si>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</si>
  <si>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</si>
  <si>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</si>
  <si>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</si>
  <si>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</si>
  <si>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</si>
  <si>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</si>
  <si>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</si>
  <si>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</si>
  <si>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</si>
  <si>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</si>
  <si>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</si>
  <si>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</si>
  <si>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</si>
  <si>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</si>
  <si>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</si>
  <si>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</si>
  <si>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</si>
  <si>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</si>
  <si>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</si>
  <si>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</si>
  <si>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</si>
  <si>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</si>
  <si>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</si>
  <si>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</si>
  <si>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</si>
  <si>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</si>
  <si>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</si>
  <si>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</si>
  <si>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</si>
  <si>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</si>
  <si>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</si>
  <si>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</si>
  <si>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</si>
  <si>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</si>
  <si>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</si>
  <si>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</si>
  <si>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</si>
  <si>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</si>
  <si>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</si>
  <si>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</si>
  <si>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</si>
  <si>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</si>
  <si>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</si>
  <si>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</si>
  <si>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</si>
  <si>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</si>
  <si>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</si>
  <si>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</si>
  <si>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</si>
  <si>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</si>
  <si>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</si>
  <si>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</si>
  <si>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</si>
  <si>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</si>
  <si>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</si>
  <si>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</si>
  <si>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</si>
  <si>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</si>
  <si>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</si>
  <si>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</si>
  <si>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</si>
  <si>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</si>
  <si>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</si>
  <si>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</si>
  <si>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</si>
  <si>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</si>
  <si>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</si>
  <si>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</si>
  <si>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</si>
  <si>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</si>
  <si>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</si>
  <si>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</si>
  <si>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</si>
  <si>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</si>
  <si>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</si>
  <si>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</si>
  <si>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</si>
  <si>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</si>
  <si>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</si>
  <si>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</si>
  <si>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</si>
  <si>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</si>
  <si>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</si>
  <si>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</si>
  <si>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</si>
  <si>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</si>
  <si>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</si>
  <si>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</si>
  <si>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</si>
  <si>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</si>
  <si>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</si>
  <si>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</si>
  <si>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</si>
  <si>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</si>
  <si>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</si>
  <si>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</si>
  <si>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</si>
  <si>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</si>
  <si>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</si>
  <si>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</si>
  <si>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</si>
  <si>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</si>
  <si>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</si>
  <si>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</si>
  <si>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</si>
  <si>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</si>
  <si>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</si>
  <si>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</si>
  <si>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</si>
  <si>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</si>
  <si>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</si>
  <si>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</si>
  <si>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</si>
  <si>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</si>
  <si>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</si>
  <si>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</si>
  <si>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</si>
  <si>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</si>
  <si>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</si>
  <si>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</si>
  <si>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</si>
  <si>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</si>
  <si>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</si>
  <si>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</si>
  <si>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</si>
  <si>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</si>
  <si>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</si>
  <si>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</si>
  <si>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</si>
  <si>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</si>
  <si>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</si>
  <si>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</si>
  <si>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</si>
  <si>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</si>
  <si>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</si>
  <si>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</si>
  <si>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</si>
  <si>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</si>
  <si>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</si>
  <si>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</si>
  <si>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</si>
  <si>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</si>
  <si>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</si>
  <si>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</si>
  <si>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</si>
  <si>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</si>
  <si>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</si>
  <si>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</si>
  <si>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</si>
  <si>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</si>
  <si>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</si>
  <si>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</si>
  <si>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</si>
  <si>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</si>
  <si>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</si>
  <si>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</si>
  <si>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</si>
  <si>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</si>
  <si>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</si>
  <si>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</si>
  <si>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</si>
  <si>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</si>
  <si>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</si>
  <si>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</si>
  <si>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</si>
  <si>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</si>
  <si>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</si>
  <si>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</si>
  <si>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</si>
  <si>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</si>
  <si>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</si>
  <si>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</si>
  <si>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</si>
  <si>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</si>
  <si>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</si>
  <si>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</si>
  <si>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</si>
  <si>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</si>
  <si>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</si>
  <si>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</si>
  <si>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</si>
  <si>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</si>
  <si>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</si>
  <si>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</si>
  <si>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</si>
  <si>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</si>
  <si>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</si>
  <si>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</si>
  <si>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</si>
  <si>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</si>
  <si>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</si>
  <si>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</si>
  <si>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</si>
  <si>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</si>
  <si>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</si>
  <si>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</si>
  <si>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</si>
  <si>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</si>
  <si>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</si>
  <si>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</si>
  <si>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</si>
  <si>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</si>
  <si>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</si>
  <si>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</si>
  <si>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</si>
  <si>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</si>
  <si>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</si>
  <si>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</si>
  <si>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</si>
  <si>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</si>
  <si>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</si>
  <si>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</si>
  <si>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</si>
  <si>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</si>
  <si>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</si>
  <si>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</si>
  <si>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</si>
  <si>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</si>
  <si>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</si>
  <si>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</si>
  <si>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</si>
  <si>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</si>
  <si>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</si>
  <si>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</si>
  <si>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</si>
  <si>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</si>
  <si>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</si>
  <si>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</si>
  <si>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</si>
  <si>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</si>
  <si>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</si>
  <si>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</si>
  <si>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</si>
  <si>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</si>
  <si>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</si>
  <si>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</si>
  <si>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</si>
  <si>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</si>
  <si>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</si>
  <si>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</si>
  <si>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</si>
  <si>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</si>
  <si>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</si>
  <si>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</si>
  <si>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</si>
  <si>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</si>
  <si>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</si>
  <si>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</si>
  <si>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</si>
  <si>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</si>
  <si>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</si>
  <si>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</si>
  <si>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</si>
  <si>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</si>
  <si>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</si>
  <si>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</si>
  <si>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</si>
  <si>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</si>
  <si>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</si>
  <si>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</si>
  <si>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</si>
  <si>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</si>
  <si>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</si>
  <si>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</si>
  <si>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</si>
  <si>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</si>
  <si>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</si>
  <si>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</si>
  <si>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</si>
  <si>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</si>
  <si>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</si>
  <si>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</si>
  <si>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</si>
  <si>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</si>
  <si>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</si>
  <si>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</si>
  <si>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</si>
  <si>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</si>
  <si>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</si>
  <si>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</si>
  <si>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</si>
  <si>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</si>
  <si>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</si>
  <si>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</si>
  <si>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</si>
  <si>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</si>
  <si>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</si>
  <si>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</si>
  <si>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</si>
  <si>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</si>
  <si>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</si>
  <si>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</si>
  <si>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</si>
  <si>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</si>
  <si>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</si>
  <si>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</si>
  <si>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</si>
  <si>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</si>
  <si>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</si>
  <si>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</si>
  <si>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</si>
  <si>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</si>
  <si>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</si>
  <si>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</si>
  <si>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</si>
  <si>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</si>
  <si>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</si>
  <si>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</si>
  <si>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</si>
  <si>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</si>
  <si>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</si>
  <si>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</si>
  <si>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</si>
  <si>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</si>
  <si>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</si>
  <si>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</si>
  <si>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</si>
  <si>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</si>
  <si>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</si>
  <si>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</si>
  <si>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</si>
  <si>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</si>
  <si>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</si>
  <si>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</si>
  <si>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</si>
  <si>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</si>
  <si>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</si>
  <si>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</si>
  <si>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</si>
  <si>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</si>
  <si>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</si>
  <si>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</si>
  <si>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</si>
  <si>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</si>
  <si>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</si>
  <si>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</si>
  <si>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</si>
  <si>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</si>
  <si>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</si>
  <si>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</si>
  <si>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</si>
  <si>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</si>
  <si>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</si>
  <si>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</si>
  <si>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</si>
  <si>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</si>
  <si>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</si>
  <si>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</si>
  <si>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</si>
  <si>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</si>
  <si>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</si>
  <si>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</si>
  <si>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</si>
  <si>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</si>
  <si>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</si>
  <si>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</si>
  <si>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</si>
  <si>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</si>
  <si>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</si>
  <si>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</si>
  <si>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</si>
  <si>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</si>
  <si>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</si>
  <si>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</si>
  <si>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</si>
  <si>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</si>
  <si>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</si>
  <si>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</si>
  <si>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</si>
  <si>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</si>
  <si>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</si>
  <si>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</si>
  <si>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</si>
  <si>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</si>
  <si>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</si>
  <si>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</si>
  <si>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</si>
  <si>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</si>
  <si>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</si>
  <si>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</si>
  <si>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</si>
  <si>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</si>
  <si>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</si>
  <si>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</si>
  <si>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</si>
  <si>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</si>
  <si>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</si>
  <si>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</si>
  <si>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</si>
  <si>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</si>
  <si>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</si>
  <si>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</si>
  <si>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</si>
  <si>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</si>
  <si>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</si>
  <si>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</si>
  <si>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</si>
  <si>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</si>
  <si>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</si>
  <si>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</si>
  <si>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</si>
  <si>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</si>
  <si>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</si>
  <si>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</si>
  <si>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</si>
  <si>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</si>
  <si>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</si>
  <si>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</si>
  <si>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</si>
  <si>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</si>
  <si>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</si>
  <si>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</si>
  <si>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</si>
  <si>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</si>
  <si>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</si>
  <si>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</si>
  <si>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</si>
  <si>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</si>
  <si>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</si>
  <si>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</si>
  <si>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</si>
  <si>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</si>
  <si>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</si>
  <si>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</si>
  <si>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</si>
  <si>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</si>
  <si>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</si>
  <si>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</si>
  <si>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</si>
  <si>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</si>
  <si>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</si>
  <si>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</si>
  <si>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</si>
  <si>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</si>
  <si>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</si>
  <si>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</si>
  <si>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</si>
  <si>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</si>
  <si>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</si>
  <si>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</si>
  <si>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</si>
  <si>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</si>
  <si>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</si>
  <si>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</si>
  <si>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</si>
  <si>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</si>
  <si>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</si>
  <si>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</si>
  <si>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</si>
  <si>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</si>
  <si>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</si>
  <si>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</si>
  <si>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</si>
  <si>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</si>
  <si>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</si>
  <si>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</si>
  <si>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</si>
  <si>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</si>
  <si>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</si>
  <si>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</si>
  <si>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</si>
  <si>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</si>
  <si>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</si>
  <si>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</si>
  <si>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</si>
  <si>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</si>
  <si>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</si>
  <si>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</si>
  <si>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</si>
  <si>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</si>
  <si>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</si>
  <si>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</si>
  <si>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</si>
  <si>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</si>
  <si>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</si>
  <si>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</si>
  <si>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</si>
  <si>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</si>
  <si>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</si>
  <si>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</si>
  <si>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</si>
  <si>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</si>
  <si>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</si>
  <si>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</si>
  <si>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</si>
  <si>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</si>
  <si>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</si>
  <si>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</si>
  <si>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</si>
  <si>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</si>
  <si>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</si>
  <si>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</si>
  <si>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</si>
  <si>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</si>
  <si>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</si>
  <si>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</si>
  <si>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</si>
  <si>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</si>
  <si>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</si>
  <si>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</si>
  <si>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</si>
  <si>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</si>
  <si>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</si>
  <si>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</si>
  <si>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</si>
  <si>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</si>
  <si>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</si>
  <si>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</si>
  <si>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</si>
  <si>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</si>
  <si>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</si>
  <si>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</si>
  <si>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</si>
  <si>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</si>
  <si>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</si>
  <si>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</si>
  <si>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</si>
  <si>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</si>
  <si>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</si>
  <si>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</si>
  <si>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</si>
  <si>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</si>
  <si>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</si>
  <si>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</si>
  <si>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</si>
  <si>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</si>
  <si>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</si>
  <si>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</si>
  <si>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</si>
  <si>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</si>
  <si>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</si>
  <si>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</si>
  <si>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</si>
  <si>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</si>
  <si>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</si>
  <si>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</si>
  <si>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</si>
  <si>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</si>
  <si>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</si>
  <si>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</si>
  <si>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</si>
  <si>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</si>
  <si>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</si>
  <si>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</si>
  <si>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</si>
  <si>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</si>
  <si>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</si>
  <si>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</si>
  <si>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</si>
  <si>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</si>
  <si>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</si>
  <si>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</si>
  <si>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</si>
  <si>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</si>
  <si>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</si>
  <si>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</si>
  <si>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</si>
  <si>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</si>
  <si>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</si>
  <si>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</si>
  <si>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</si>
  <si>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</si>
  <si>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</si>
  <si>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</si>
  <si>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</si>
  <si>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</si>
  <si>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</si>
  <si>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</si>
  <si>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</si>
  <si>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</si>
  <si>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</si>
  <si>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</si>
  <si>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</si>
  <si>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</si>
  <si>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</si>
  <si>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</si>
  <si>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</si>
  <si>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</si>
  <si>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</si>
  <si>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</si>
  <si>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</si>
  <si>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</si>
  <si>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</si>
  <si>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</si>
  <si>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</si>
  <si>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</si>
  <si>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</si>
  <si>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</si>
  <si>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</si>
  <si>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</si>
  <si>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</si>
  <si>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</si>
  <si>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</si>
  <si>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</si>
  <si>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</si>
  <si>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</si>
  <si>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</si>
  <si>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</si>
  <si>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</si>
  <si>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</si>
  <si>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</si>
  <si>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</si>
  <si>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</si>
  <si>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</si>
  <si>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</si>
  <si>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</si>
  <si>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</si>
  <si>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</si>
  <si>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</si>
  <si>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</si>
  <si>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</si>
  <si>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</si>
  <si>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</si>
  <si>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</si>
  <si>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</si>
  <si>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</si>
  <si>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</si>
  <si>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</si>
  <si>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</si>
  <si>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</si>
  <si>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</si>
  <si>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</si>
  <si>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</si>
  <si>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</si>
  <si>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</si>
  <si>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</si>
  <si>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</si>
  <si>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</si>
  <si>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</si>
  <si>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</si>
  <si>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</si>
  <si>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</si>
  <si>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</si>
  <si>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</si>
  <si>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</si>
  <si>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</si>
  <si>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</si>
  <si>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</si>
  <si>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</si>
  <si>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</si>
  <si>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</si>
  <si>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</si>
  <si>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</si>
  <si>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</si>
  <si>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</si>
  <si>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</si>
  <si>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</si>
  <si>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</si>
  <si>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</si>
  <si>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</si>
  <si>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</si>
  <si>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</si>
  <si>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</si>
  <si>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</si>
  <si>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</si>
  <si>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</si>
  <si>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</si>
  <si>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</si>
  <si>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</si>
  <si>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</si>
  <si>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</si>
  <si>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</si>
  <si>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</si>
  <si>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</si>
  <si>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</si>
  <si>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</si>
  <si>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</si>
  <si>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</si>
  <si>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</si>
  <si>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</si>
  <si>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</si>
  <si>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</si>
  <si>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</si>
  <si>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</si>
  <si>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</si>
  <si>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</si>
  <si>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</si>
  <si>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</si>
  <si>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</si>
  <si>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</si>
  <si>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</si>
  <si>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</si>
  <si>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</si>
  <si>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</si>
  <si>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</si>
  <si>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</si>
  <si>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</si>
  <si>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</si>
  <si>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</si>
  <si>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</si>
  <si>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</si>
  <si>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</si>
  <si>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</si>
  <si>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</si>
  <si>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</si>
  <si>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</si>
  <si>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</si>
  <si>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</si>
  <si>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</si>
  <si>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</si>
  <si>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</si>
  <si>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</si>
  <si>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</si>
  <si>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</si>
  <si>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</si>
  <si>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</si>
  <si>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</si>
  <si>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</si>
  <si>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</si>
  <si>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</si>
  <si>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</si>
  <si>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</si>
  <si>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</si>
  <si>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</si>
  <si>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</si>
  <si>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</si>
  <si>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</si>
  <si>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</si>
  <si>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</si>
  <si>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</si>
  <si>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</si>
  <si>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</si>
  <si>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</si>
  <si>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</si>
  <si>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</si>
  <si>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</si>
  <si>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</si>
  <si>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</si>
  <si>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</si>
  <si>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</si>
  <si>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</si>
  <si>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</si>
  <si>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</si>
  <si>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</si>
  <si>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</si>
  <si>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</si>
  <si>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</si>
  <si>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</si>
  <si>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</si>
  <si>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</si>
  <si>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</si>
  <si>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</si>
  <si>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</si>
  <si>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</si>
  <si>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</si>
  <si>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</si>
  <si>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</si>
  <si>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</si>
  <si>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</si>
  <si>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</si>
  <si>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</si>
  <si>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</si>
  <si>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</si>
  <si>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</si>
  <si>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</si>
  <si>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</si>
  <si>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</si>
  <si>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</si>
  <si>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</si>
  <si>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</si>
  <si>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</si>
  <si>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</si>
  <si>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</si>
  <si>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</si>
  <si>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</si>
  <si>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</si>
  <si>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</si>
  <si>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</si>
  <si>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</si>
  <si>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</si>
  <si>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</si>
  <si>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</si>
  <si>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</si>
  <si>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</si>
  <si>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</si>
  <si>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</si>
  <si>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</si>
  <si>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</si>
  <si>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</si>
  <si>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</si>
  <si>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</si>
  <si>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</si>
  <si>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</si>
  <si>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</si>
  <si>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</si>
  <si>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</si>
  <si>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</si>
  <si>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</si>
  <si>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</si>
  <si>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</si>
  <si>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</si>
  <si>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</si>
  <si>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</si>
  <si>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</si>
  <si>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</si>
  <si>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</si>
  <si>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</si>
  <si>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</si>
  <si>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</si>
  <si>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</si>
  <si>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</si>
  <si>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</si>
  <si>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</si>
  <si>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</si>
  <si>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</si>
  <si>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</si>
  <si>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</si>
  <si>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</si>
  <si>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</si>
  <si>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</si>
  <si>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</si>
  <si>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</si>
  <si>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</si>
  <si>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</si>
  <si>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</si>
  <si>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</si>
  <si>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</si>
  <si>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</si>
  <si>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</si>
  <si>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</si>
  <si>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</si>
  <si>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</si>
  <si>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</si>
  <si>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</si>
  <si>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</si>
  <si>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</si>
  <si>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</si>
  <si>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</si>
  <si>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</si>
  <si>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</si>
  <si>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</si>
  <si>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</si>
  <si>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</si>
  <si>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</si>
  <si>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</si>
  <si>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</si>
  <si>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</si>
  <si>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</si>
  <si>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</si>
  <si>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</si>
  <si>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</si>
  <si>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</si>
  <si>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</si>
  <si>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</si>
  <si>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</si>
  <si>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</si>
  <si>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</si>
  <si>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</si>
  <si>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</si>
  <si>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</si>
  <si>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</si>
  <si>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</si>
  <si>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</si>
  <si>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</si>
  <si>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</si>
  <si>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</si>
  <si>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</si>
  <si>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</si>
  <si>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</si>
  <si>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</si>
  <si>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</si>
  <si>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</si>
  <si>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</si>
  <si>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</si>
  <si>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</si>
  <si>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</si>
  <si>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</si>
  <si>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</si>
  <si>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</si>
  <si>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</si>
  <si>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</si>
  <si>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</si>
  <si>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</si>
  <si>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</si>
  <si>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</si>
  <si>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</si>
  <si>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</si>
  <si>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</si>
  <si>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</si>
  <si>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</si>
  <si>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</si>
  <si>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</si>
  <si>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</si>
  <si>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</si>
  <si>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</si>
  <si>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</si>
  <si>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</si>
  <si>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</si>
  <si>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</si>
  <si>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</si>
  <si>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</si>
  <si>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</si>
  <si>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</si>
  <si>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</si>
  <si>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</si>
  <si>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</si>
  <si>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</si>
  <si>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</si>
  <si>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</si>
  <si>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</si>
  <si>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</si>
  <si>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</si>
  <si>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</si>
  <si>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</si>
  <si>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</si>
  <si>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</si>
  <si>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</si>
  <si>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</si>
  <si>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</si>
  <si>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</si>
  <si>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</si>
  <si>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</si>
  <si>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</si>
  <si>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</si>
  <si>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</si>
  <si>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</si>
  <si>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</si>
  <si>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</si>
  <si>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</si>
  <si>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</si>
  <si>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</si>
  <si>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</si>
  <si>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</si>
  <si>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</si>
  <si>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</si>
  <si>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</si>
  <si>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</si>
  <si>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</si>
  <si>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</si>
  <si>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</si>
  <si>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</si>
  <si>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</si>
  <si>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</si>
  <si>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</si>
  <si>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</si>
  <si>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</si>
  <si>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</si>
  <si>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</si>
  <si>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</si>
  <si>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</si>
  <si>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</si>
  <si>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</si>
  <si>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</si>
  <si>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</si>
  <si>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</si>
  <si>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</si>
  <si>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</si>
  <si>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</si>
  <si>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</si>
  <si>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</si>
  <si>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</si>
  <si>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</si>
  <si>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</si>
  <si>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</si>
  <si>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</si>
  <si>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</si>
  <si>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</si>
  <si>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</si>
  <si>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</si>
  <si>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</si>
  <si>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</si>
  <si>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</si>
  <si>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</si>
  <si>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</si>
  <si>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</si>
  <si>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</si>
  <si>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</si>
  <si>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</si>
  <si>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</si>
  <si>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</si>
  <si>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</si>
  <si>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</si>
  <si>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</si>
  <si>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</si>
  <si>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</si>
  <si>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</si>
  <si>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</si>
  <si>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</si>
  <si>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</si>
  <si>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</si>
  <si>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</si>
  <si>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</si>
  <si>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</si>
  <si>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</si>
  <si>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</si>
  <si>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</si>
  <si>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</si>
  <si>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</si>
  <si>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</si>
  <si>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</si>
  <si>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</si>
  <si>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</si>
  <si>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</si>
  <si>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</si>
  <si>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</si>
  <si>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</si>
  <si>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</si>
  <si>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</si>
  <si>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</si>
  <si>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</si>
  <si>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</si>
  <si>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</si>
  <si>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</si>
  <si>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</si>
  <si>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</si>
  <si>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</si>
  <si>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</si>
  <si>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</si>
  <si>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</si>
  <si>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</si>
  <si>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</si>
  <si>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</si>
  <si>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</si>
  <si>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</si>
  <si>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</si>
  <si>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</si>
  <si>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</si>
  <si>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</si>
  <si>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</si>
  <si>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</si>
  <si>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</si>
  <si>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</si>
  <si>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</si>
  <si>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</si>
  <si>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</si>
  <si>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</si>
  <si>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</si>
  <si>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</si>
  <si>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</si>
  <si>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</si>
  <si>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</si>
  <si>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</si>
  <si>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</si>
  <si>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</si>
  <si>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</si>
  <si>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</si>
  <si>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</si>
  <si>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</si>
  <si>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</si>
  <si>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</si>
  <si>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</si>
  <si>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</si>
  <si>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</si>
  <si>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</si>
  <si>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</si>
  <si>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</si>
  <si>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</si>
  <si>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</si>
  <si>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</si>
  <si>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</si>
  <si>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</si>
  <si>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</si>
  <si>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</si>
  <si>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</si>
  <si>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</si>
  <si>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</si>
  <si>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</si>
  <si>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</si>
  <si>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</si>
  <si>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</si>
  <si>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</si>
  <si>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</si>
  <si>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</si>
  <si>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</si>
  <si>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</si>
  <si>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</si>
  <si>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</si>
  <si>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</si>
  <si>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</si>
  <si>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</si>
  <si>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</si>
  <si>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</si>
  <si>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</si>
  <si>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</si>
  <si>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</si>
  <si>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</si>
  <si>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</si>
  <si>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</si>
  <si>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</si>
  <si>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</si>
  <si>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</si>
  <si>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</si>
  <si>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</si>
  <si>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</si>
  <si>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</si>
  <si>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</si>
  <si>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</si>
  <si>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</si>
  <si>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</si>
  <si>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</si>
  <si>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</si>
  <si>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</si>
  <si>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</si>
  <si>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</si>
  <si>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</si>
  <si>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</si>
  <si>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</si>
  <si>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</si>
  <si>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</si>
  <si>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</si>
  <si>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</si>
  <si>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</si>
  <si>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</si>
  <si>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</si>
  <si>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</si>
  <si>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</si>
  <si>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</si>
  <si>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</si>
  <si>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</si>
  <si>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</si>
  <si>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</si>
  <si>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</si>
  <si>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</si>
  <si>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</si>
  <si>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</si>
  <si>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</si>
  <si>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</si>
  <si>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</si>
  <si>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</si>
  <si>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</si>
  <si>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</si>
  <si>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</si>
  <si>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</si>
  <si>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</si>
  <si>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</si>
  <si>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</si>
  <si>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</si>
  <si>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</si>
  <si>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</si>
  <si>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</si>
  <si>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</si>
  <si>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</si>
  <si>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</si>
  <si>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</si>
  <si>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</si>
  <si>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</si>
  <si>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</si>
  <si>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</si>
  <si>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</si>
  <si>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</si>
  <si>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</si>
  <si>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</si>
  <si>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</si>
  <si>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</si>
  <si>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</si>
  <si>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</si>
  <si>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</si>
  <si>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</si>
  <si>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</si>
  <si>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</si>
  <si>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</si>
  <si>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</si>
  <si>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</si>
  <si>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</si>
  <si>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</si>
  <si>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</si>
  <si>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</si>
  <si>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</si>
  <si>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</si>
  <si>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</si>
  <si>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</si>
  <si>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</si>
  <si>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</si>
  <si>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</si>
  <si>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</si>
  <si>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</si>
  <si>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</si>
  <si>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</si>
  <si>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</si>
  <si>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</si>
  <si>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</si>
  <si>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</si>
  <si>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</si>
  <si>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</si>
  <si>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</si>
  <si>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</si>
  <si>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</si>
  <si>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</si>
  <si>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</si>
  <si>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</si>
  <si>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</si>
  <si>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</si>
  <si>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</si>
  <si>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</si>
  <si>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</si>
  <si>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</si>
  <si>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</si>
  <si>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</si>
  <si>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</si>
  <si>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</si>
  <si>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</si>
  <si>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</si>
  <si>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</si>
  <si>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</si>
  <si>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</si>
  <si>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</si>
  <si>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</si>
  <si>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</si>
  <si>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</si>
  <si>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</si>
  <si>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</si>
  <si>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</si>
  <si>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</si>
  <si>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</si>
  <si>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</si>
  <si>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</si>
  <si>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</si>
  <si>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</si>
  <si>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</si>
  <si>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</si>
  <si>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</si>
  <si>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</si>
  <si>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</si>
  <si>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</si>
  <si>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</si>
  <si>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</si>
  <si>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</si>
  <si>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</si>
  <si>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</si>
  <si>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</si>
  <si>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</si>
  <si>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</si>
  <si>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</si>
  <si>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</si>
  <si>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</si>
  <si>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</si>
  <si>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</si>
  <si>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</si>
  <si>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</si>
  <si>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</si>
  <si>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</si>
  <si>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</si>
  <si>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</si>
  <si>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</si>
  <si>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</si>
  <si>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</si>
  <si>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</si>
  <si>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</si>
  <si>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</si>
  <si>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</si>
  <si>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</si>
  <si>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</si>
  <si>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</si>
  <si>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</si>
  <si>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</si>
  <si>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</si>
  <si>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</si>
  <si>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</si>
  <si>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</si>
  <si>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</si>
  <si>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</si>
  <si>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</si>
  <si>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</si>
  <si>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</si>
  <si>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</si>
  <si>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</si>
  <si>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</si>
  <si>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</si>
  <si>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</si>
  <si>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</si>
  <si>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</si>
  <si>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</si>
  <si>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</si>
  <si>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</si>
  <si>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</si>
  <si>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</si>
  <si>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</si>
  <si>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</si>
  <si>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</si>
  <si>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</si>
  <si>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</si>
  <si>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</si>
  <si>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</si>
  <si>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</si>
  <si>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</si>
  <si>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</si>
  <si>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</si>
  <si>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</si>
  <si>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</si>
  <si>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</si>
  <si>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</si>
  <si>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</si>
  <si>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</si>
  <si>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</si>
  <si>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</si>
  <si>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</si>
  <si>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</si>
  <si>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</si>
  <si>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</si>
  <si>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</si>
  <si>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</si>
  <si>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</si>
  <si>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</si>
  <si>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</si>
  <si>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</si>
  <si>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</si>
  <si>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</si>
  <si>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</si>
  <si>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</si>
  <si>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</si>
  <si>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</si>
  <si>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</si>
  <si>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</si>
  <si>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</si>
  <si>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</si>
  <si>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</si>
  <si>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</si>
  <si>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</si>
  <si>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</si>
  <si>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</si>
  <si>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</si>
  <si>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</si>
  <si>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</si>
  <si>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</si>
  <si>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</si>
  <si>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</si>
  <si>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</si>
  <si>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</si>
  <si>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</si>
  <si>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</si>
  <si>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</si>
  <si>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</si>
  <si>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</si>
  <si>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</si>
  <si>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</si>
  <si>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</si>
  <si>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</si>
  <si>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</si>
  <si>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</si>
  <si>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</si>
  <si>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</si>
  <si>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</si>
  <si>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</si>
  <si>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</si>
  <si>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</si>
  <si>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</si>
  <si>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</si>
  <si>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</si>
  <si>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</si>
  <si>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</si>
  <si>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</si>
  <si>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</si>
  <si>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</si>
  <si>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</si>
  <si>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</si>
  <si>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</si>
  <si>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</si>
  <si>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</si>
  <si>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</si>
  <si>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</si>
  <si>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</si>
  <si>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</si>
  <si>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</si>
  <si>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</si>
  <si>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</si>
  <si>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</si>
  <si>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</si>
  <si>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</si>
  <si>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</si>
  <si>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</si>
  <si>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</si>
  <si>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</si>
  <si>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</si>
  <si>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</si>
  <si>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</si>
  <si>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</si>
  <si>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</si>
  <si>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</si>
  <si>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</si>
  <si>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</si>
  <si>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</si>
  <si>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</si>
  <si>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</si>
  <si>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</si>
  <si>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</si>
  <si>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</si>
  <si>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</si>
  <si>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</si>
  <si>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</si>
  <si>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</si>
  <si>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</si>
  <si>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</si>
  <si>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</si>
  <si>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</si>
  <si>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</si>
  <si>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</si>
  <si>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</si>
  <si>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</si>
  <si>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</si>
  <si>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</si>
  <si>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</si>
  <si>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</si>
  <si>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</si>
  <si>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</si>
  <si>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</si>
  <si>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</si>
  <si>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</si>
  <si>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</si>
  <si>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</si>
  <si>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</si>
  <si>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</si>
  <si>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</si>
  <si>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</si>
  <si>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</si>
  <si>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</si>
  <si>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</si>
  <si>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</si>
  <si>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</si>
  <si>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</si>
  <si>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</si>
  <si>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</si>
  <si>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</si>
  <si>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</si>
  <si>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</si>
  <si>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</si>
  <si>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</si>
  <si>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</si>
  <si>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</si>
  <si>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</si>
  <si>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</si>
  <si>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</si>
  <si>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</si>
  <si>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</si>
  <si>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</si>
  <si>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</si>
  <si>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</si>
  <si>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</si>
  <si>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</si>
  <si>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</si>
  <si>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</si>
  <si>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</si>
  <si>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</si>
  <si>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</si>
  <si>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</si>
  <si>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</si>
  <si>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</si>
  <si>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</si>
  <si>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</si>
  <si>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</si>
  <si>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</si>
  <si>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</si>
  <si>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</si>
  <si>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</si>
  <si>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</si>
  <si>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</si>
  <si>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</si>
  <si>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</si>
  <si>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</si>
  <si>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</si>
  <si>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</si>
  <si>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</si>
  <si>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</si>
  <si>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</si>
  <si>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</si>
  <si>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</si>
  <si>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</si>
  <si>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</si>
  <si>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</si>
  <si>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</si>
  <si>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</si>
  <si>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</si>
  <si>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</si>
  <si>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</si>
  <si>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</si>
  <si>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</si>
  <si>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</si>
  <si>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</si>
  <si>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</si>
  <si>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</si>
  <si>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</si>
  <si>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</si>
  <si>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</si>
  <si>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</si>
  <si>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</si>
  <si>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</si>
  <si>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</si>
  <si>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</si>
  <si>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</si>
  <si>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</si>
  <si>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</si>
  <si>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</si>
  <si>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</si>
  <si>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</si>
  <si>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</si>
  <si>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</si>
  <si>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</si>
  <si>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</si>
  <si>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</si>
  <si>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</si>
  <si>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</si>
  <si>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</si>
  <si>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</si>
  <si>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</si>
  <si>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</si>
  <si>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</si>
  <si>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</si>
  <si>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</si>
  <si>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</si>
  <si>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</si>
  <si>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</si>
  <si>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</si>
  <si>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</si>
  <si>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</si>
  <si>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</si>
  <si>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</si>
  <si>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</si>
  <si>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</si>
  <si>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</si>
  <si>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</si>
  <si>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</si>
  <si>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</si>
  <si>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</si>
  <si>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</si>
  <si>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</si>
  <si>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</si>
  <si>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</si>
  <si>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</si>
  <si>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</si>
  <si>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</si>
  <si>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</si>
  <si>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</si>
  <si>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</si>
  <si>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</si>
  <si>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</si>
  <si>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</si>
  <si>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</si>
  <si>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</si>
  <si>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</si>
  <si>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</si>
  <si>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</si>
  <si>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</si>
  <si>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</si>
  <si>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</si>
  <si>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</si>
  <si>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</si>
  <si>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</si>
  <si>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</si>
  <si>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</si>
  <si>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</si>
  <si>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</si>
  <si>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</si>
  <si>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</si>
  <si>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</si>
  <si>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</si>
  <si>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</si>
  <si>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</si>
  <si>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</si>
  <si>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</si>
  <si>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</si>
  <si>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</si>
  <si>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</si>
  <si>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</si>
  <si>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</si>
  <si>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</si>
  <si>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</si>
  <si>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</si>
  <si>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</si>
  <si>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</si>
  <si>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</si>
  <si>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</si>
  <si>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</si>
  <si>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</si>
  <si>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</si>
  <si>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</si>
  <si>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</si>
  <si>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</si>
  <si>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</si>
  <si>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</si>
  <si>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</si>
  <si>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</si>
  <si>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</si>
  <si>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</si>
  <si>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</si>
  <si>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</si>
  <si>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</si>
  <si>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</si>
  <si>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</si>
  <si>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</si>
  <si>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</si>
  <si>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</si>
  <si>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</si>
  <si>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</si>
  <si>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</si>
  <si>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</si>
  <si>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</si>
  <si>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</si>
  <si>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</si>
  <si>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</si>
  <si>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</si>
  <si>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</si>
  <si>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</si>
  <si>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</si>
  <si>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</si>
  <si>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</si>
  <si>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</si>
  <si>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</si>
  <si>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</si>
  <si>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</si>
  <si>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</si>
  <si>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</si>
  <si>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</si>
  <si>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</si>
  <si>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</si>
  <si>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</si>
  <si>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</si>
  <si>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</si>
  <si>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</si>
  <si>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</si>
  <si>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</si>
  <si>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</si>
  <si>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</si>
  <si>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</si>
  <si>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</si>
  <si>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</si>
  <si>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</si>
  <si>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</si>
  <si>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</si>
  <si>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</si>
  <si>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</si>
  <si>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</si>
  <si>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</si>
  <si>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</si>
  <si>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</si>
  <si>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</si>
  <si>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</si>
  <si>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</si>
  <si>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</si>
  <si>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</si>
  <si>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</si>
  <si>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</si>
  <si>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</si>
  <si>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</si>
  <si>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</si>
  <si>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</si>
  <si>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</si>
  <si>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</si>
  <si>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</si>
  <si>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</si>
  <si>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</si>
  <si>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</si>
  <si>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</si>
  <si>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</si>
  <si>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</si>
  <si>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</si>
  <si>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</si>
  <si>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</si>
  <si>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</si>
  <si>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</si>
  <si>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</si>
  <si>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</si>
  <si>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</si>
  <si>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</si>
  <si>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</si>
  <si>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</si>
  <si>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</si>
  <si>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</si>
  <si>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</si>
  <si>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</si>
  <si>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</si>
  <si>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</si>
  <si>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</si>
  <si>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</si>
  <si>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</si>
  <si>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</si>
  <si>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</si>
  <si>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</si>
  <si>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</si>
  <si>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</si>
  <si>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</si>
  <si>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</si>
  <si>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</si>
  <si>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</si>
  <si>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</si>
  <si>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</si>
  <si>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</si>
  <si>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</si>
  <si>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</si>
  <si>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</si>
  <si>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</si>
  <si>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</si>
  <si>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</si>
  <si>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</si>
  <si>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</si>
  <si>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</si>
  <si>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</si>
  <si>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</si>
  <si>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</si>
  <si>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</si>
  <si>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</si>
  <si>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</si>
  <si>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</si>
  <si>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</si>
  <si>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</si>
  <si>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</si>
  <si>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</si>
  <si>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</si>
  <si>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</si>
  <si>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</si>
  <si>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</si>
  <si>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</si>
  <si>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</si>
  <si>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</si>
  <si>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</si>
  <si>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</si>
  <si>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</si>
  <si>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</si>
  <si>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</si>
  <si>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</si>
  <si>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</si>
  <si>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</si>
  <si>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</si>
  <si>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</si>
  <si>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</si>
  <si>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</si>
  <si>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</si>
  <si>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</si>
  <si>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</si>
  <si>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</si>
  <si>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</si>
  <si>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</si>
  <si>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</si>
  <si>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</si>
  <si>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</si>
  <si>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</si>
  <si>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</si>
  <si>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</si>
  <si>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</si>
  <si>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</si>
  <si>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</si>
  <si>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</si>
  <si>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</si>
  <si>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</si>
  <si>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</si>
  <si>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</si>
  <si>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</si>
  <si>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</si>
  <si>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</si>
  <si>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</si>
  <si>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</si>
  <si>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</si>
  <si>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</si>
  <si>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</si>
  <si>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</si>
  <si>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</si>
  <si>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</si>
  <si>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</si>
  <si>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</si>
  <si>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</si>
  <si>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</si>
  <si>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</si>
  <si>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</si>
  <si>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</si>
  <si>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</si>
  <si>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</si>
  <si>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</si>
  <si>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</si>
  <si>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</si>
  <si>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</si>
  <si>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</si>
  <si>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</si>
  <si>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</si>
  <si>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</si>
  <si>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</si>
  <si>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</si>
  <si>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</si>
  <si>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</si>
  <si>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</si>
  <si>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</si>
  <si>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</si>
  <si>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</si>
  <si>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</si>
  <si>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</si>
  <si>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</si>
  <si>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</si>
  <si>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</si>
  <si>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</si>
  <si>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</si>
  <si>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</si>
  <si>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</si>
  <si>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</si>
  <si>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</si>
  <si>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</si>
  <si>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</si>
  <si>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</si>
  <si>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</si>
  <si>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</si>
  <si>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</si>
  <si>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</si>
  <si>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</si>
  <si>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</si>
  <si>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</si>
  <si>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</si>
  <si>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</si>
  <si>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</si>
  <si>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</si>
  <si>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</si>
  <si>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</si>
  <si>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</si>
  <si>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</si>
  <si>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</si>
  <si>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</si>
  <si>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</si>
  <si>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</si>
  <si>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</si>
  <si>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</si>
  <si>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</si>
  <si>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</si>
  <si>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</si>
  <si>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</si>
  <si>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</si>
  <si>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</si>
  <si>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</si>
  <si>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</si>
  <si>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</si>
  <si>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</si>
  <si>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</si>
  <si>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</si>
  <si>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</si>
  <si>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</si>
  <si>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</si>
  <si>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</si>
  <si>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</si>
  <si>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</si>
  <si>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</si>
  <si>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</si>
  <si>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</si>
  <si>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</si>
  <si>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</si>
  <si>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</si>
  <si>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</si>
  <si>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</si>
  <si>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</si>
  <si>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</si>
  <si>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</si>
  <si>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</si>
  <si>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</si>
  <si>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</si>
  <si>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</si>
  <si>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</si>
  <si>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</si>
  <si>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</si>
  <si>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</si>
  <si>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</si>
  <si>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</si>
  <si>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</si>
  <si>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</si>
  <si>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</si>
  <si>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</si>
  <si>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</si>
  <si>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</si>
  <si>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</si>
  <si>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</si>
  <si>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</si>
  <si>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</si>
  <si>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</si>
  <si>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</si>
  <si>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</si>
  <si>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</si>
  <si>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</si>
  <si>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</si>
  <si>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</si>
  <si>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</si>
  <si>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</si>
  <si>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</si>
  <si>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</si>
  <si>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</si>
  <si>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</si>
  <si>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</si>
  <si>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</si>
  <si>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</si>
  <si>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</si>
  <si>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</si>
  <si>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</si>
  <si>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</si>
  <si>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</si>
  <si>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</si>
  <si>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</si>
  <si>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</si>
  <si>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</si>
  <si>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</si>
  <si>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</si>
  <si>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</si>
  <si>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</si>
  <si>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</si>
  <si>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</si>
  <si>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</si>
  <si>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</si>
  <si>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</si>
  <si>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</si>
  <si>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</si>
  <si>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</si>
  <si>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</si>
  <si>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</si>
  <si>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</si>
  <si>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</si>
  <si>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</si>
  <si>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</si>
  <si>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</si>
  <si>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</si>
  <si>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</si>
  <si>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</si>
  <si>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</si>
  <si>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</si>
  <si>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</si>
  <si>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</si>
  <si>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</si>
  <si>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</si>
  <si>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</si>
  <si>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</si>
  <si>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</si>
  <si>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</si>
  <si>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</si>
  <si>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</si>
  <si>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</si>
  <si>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</si>
  <si>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</si>
  <si>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</si>
  <si>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</si>
  <si>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</si>
  <si>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</si>
  <si>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</si>
  <si>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</si>
  <si>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</si>
  <si>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</si>
  <si>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</si>
  <si>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</si>
  <si>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</si>
  <si>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</si>
  <si>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</si>
  <si>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</si>
  <si>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</si>
  <si>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</si>
  <si>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</si>
  <si>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</si>
  <si>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</si>
  <si>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</si>
  <si>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</si>
  <si>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</si>
  <si>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</si>
  <si>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</si>
  <si>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</si>
  <si>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</si>
  <si>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</si>
  <si>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</si>
  <si>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</si>
  <si>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</si>
  <si>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</si>
  <si>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</si>
  <si>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</si>
  <si>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</si>
  <si>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</si>
  <si>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</si>
  <si>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</si>
  <si>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</si>
  <si>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</si>
  <si>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</si>
  <si>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</si>
  <si>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</si>
  <si>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</si>
  <si>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</si>
  <si>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</si>
  <si>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</si>
  <si>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</si>
  <si>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</si>
  <si>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</si>
  <si>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</si>
  <si>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</si>
  <si>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</si>
  <si>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</si>
  <si>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</si>
  <si>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</si>
  <si>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</si>
  <si>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</si>
  <si>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</si>
  <si>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</si>
  <si>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</si>
  <si>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</si>
  <si>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</si>
  <si>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</si>
  <si>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</si>
  <si>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</si>
  <si>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</si>
  <si>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</si>
  <si>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</si>
  <si>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</si>
  <si>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</si>
  <si>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</si>
  <si>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</si>
  <si>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</si>
  <si>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</si>
  <si>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</si>
  <si>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</si>
  <si>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</si>
  <si>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</si>
  <si>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</si>
  <si>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</si>
  <si>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</si>
  <si>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</si>
  <si>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</si>
  <si>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</si>
  <si>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</si>
  <si>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</si>
  <si>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</si>
  <si>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</si>
  <si>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</si>
  <si>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</si>
  <si>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</si>
  <si>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</si>
  <si>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</si>
  <si>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</si>
  <si>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</si>
  <si>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</si>
  <si>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</si>
  <si>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</si>
  <si>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</si>
  <si>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</si>
  <si>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</si>
  <si>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</si>
  <si>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</si>
  <si>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</si>
  <si>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</si>
  <si>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</si>
  <si>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</si>
  <si>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</si>
  <si>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</si>
  <si>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</si>
  <si>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</si>
  <si>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</si>
  <si>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</si>
  <si>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</si>
  <si>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</si>
  <si>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</si>
  <si>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</si>
  <si>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</si>
  <si>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</si>
  <si>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</si>
  <si>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</si>
  <si>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</si>
  <si>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</si>
  <si>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</si>
  <si>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</si>
  <si>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</si>
  <si>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</si>
  <si>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</si>
  <si>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</si>
  <si>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</si>
  <si>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</si>
  <si>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</si>
  <si>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</si>
  <si>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</si>
  <si>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</si>
  <si>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</si>
  <si>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</si>
  <si>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</si>
  <si>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</si>
  <si>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</si>
  <si>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</si>
  <si>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</si>
  <si>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</si>
  <si>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</si>
  <si>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</si>
  <si>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</si>
  <si>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</si>
  <si>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</si>
  <si>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</si>
  <si>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</si>
  <si>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</si>
  <si>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</si>
  <si>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</si>
  <si>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</si>
  <si>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</si>
  <si>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</si>
  <si>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</si>
  <si>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</si>
  <si>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</si>
  <si>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</si>
  <si>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</si>
  <si>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</si>
  <si>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</si>
  <si>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</si>
  <si>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</si>
  <si>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</si>
  <si>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</si>
  <si>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</si>
  <si>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</si>
  <si>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</si>
  <si>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</si>
  <si>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</si>
  <si>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</si>
  <si>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</si>
  <si>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</si>
  <si>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</si>
  <si>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</si>
  <si>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</si>
  <si>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</si>
  <si>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</si>
  <si>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</si>
  <si>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</si>
  <si>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</si>
  <si>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</si>
  <si>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</si>
  <si>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</si>
  <si>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</si>
  <si>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</si>
  <si>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</si>
  <si>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</si>
  <si>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</si>
  <si>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</si>
  <si>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</si>
  <si>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</si>
  <si>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</si>
  <si>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</si>
  <si>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</si>
  <si>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</si>
  <si>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</si>
  <si>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</si>
  <si>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</si>
  <si>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</si>
  <si>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</si>
  <si>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</si>
  <si>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</si>
  <si>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</si>
  <si>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</si>
  <si>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</si>
  <si>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</si>
  <si>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</si>
  <si>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</si>
  <si>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</si>
  <si>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</si>
  <si>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</si>
  <si>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</si>
  <si>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</si>
  <si>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</si>
  <si>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</si>
  <si>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</si>
  <si>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</si>
  <si>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</si>
  <si>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</si>
  <si>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</si>
  <si>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</si>
  <si>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</si>
  <si>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</si>
  <si>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</si>
  <si>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</si>
  <si>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</si>
  <si>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</si>
  <si>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</si>
  <si>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</si>
  <si>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</si>
  <si>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</si>
  <si>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</si>
  <si>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</si>
  <si>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</si>
  <si>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</si>
  <si>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</si>
  <si>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</si>
  <si>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</si>
  <si>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</si>
  <si>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</si>
  <si>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</si>
  <si>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</si>
  <si>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</si>
  <si>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</si>
  <si>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</si>
  <si>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</si>
  <si>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</si>
  <si>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</si>
  <si>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</si>
  <si>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</si>
  <si>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</si>
  <si>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</si>
  <si>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</si>
  <si>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</si>
  <si>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</si>
  <si>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</si>
  <si>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</si>
  <si>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</si>
  <si>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</si>
  <si>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</si>
  <si>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</si>
  <si>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</si>
  <si>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</si>
  <si>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</si>
  <si>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</si>
  <si>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</si>
  <si>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</si>
  <si>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</si>
  <si>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</si>
  <si>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</si>
  <si>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</si>
  <si>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</si>
  <si>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</si>
  <si>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</si>
  <si>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</si>
  <si>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</si>
  <si>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</si>
  <si>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</si>
  <si>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</si>
  <si>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</si>
  <si>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</si>
  <si>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</si>
  <si>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</si>
  <si>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</si>
  <si>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</si>
  <si>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</si>
  <si>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</si>
  <si>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</si>
  <si>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</si>
  <si>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</si>
  <si>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</si>
  <si>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</si>
  <si>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</si>
  <si>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</si>
  <si>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</si>
  <si>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</si>
  <si>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</si>
  <si>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</si>
  <si>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</si>
  <si>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</si>
  <si>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</si>
  <si>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</si>
  <si>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</si>
  <si>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</si>
  <si>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</si>
  <si>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</si>
  <si>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</si>
  <si>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</si>
  <si>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</si>
  <si>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</si>
  <si>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</si>
  <si>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</si>
  <si>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</si>
  <si>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</si>
  <si>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</si>
  <si>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</si>
  <si>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</si>
  <si>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</si>
  <si>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</si>
  <si>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</si>
  <si>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</si>
  <si>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</si>
  <si>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</si>
  <si>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</si>
  <si>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</si>
  <si>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</si>
  <si>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</si>
  <si>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</si>
  <si>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</si>
  <si>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</si>
  <si>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</si>
  <si>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</si>
  <si>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</si>
  <si>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</si>
  <si>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</si>
  <si>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</si>
  <si>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</si>
  <si>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</si>
  <si>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</si>
  <si>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</si>
  <si>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</si>
  <si>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</si>
  <si>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</si>
  <si>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</si>
  <si>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</si>
  <si>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</si>
  <si>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</si>
  <si>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</si>
  <si>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</si>
  <si>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</si>
  <si>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</si>
  <si>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</si>
  <si>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</si>
  <si>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</si>
  <si>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</si>
  <si>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</si>
  <si>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</si>
  <si>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</si>
  <si>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</si>
  <si>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</si>
  <si>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</si>
  <si>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</si>
  <si>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</si>
  <si>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</si>
  <si>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</si>
  <si>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</si>
  <si>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</si>
  <si>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</si>
  <si>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</si>
  <si>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</si>
  <si>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</si>
  <si>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</si>
  <si>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</si>
  <si>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</si>
  <si>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</si>
  <si>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</si>
  <si>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</si>
  <si>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</si>
  <si>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</si>
  <si>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</si>
  <si>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</si>
  <si>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</si>
  <si>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</si>
  <si>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</si>
  <si>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</si>
  <si>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</si>
  <si>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</si>
  <si>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</si>
  <si>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</si>
  <si>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</si>
  <si>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</si>
  <si>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</si>
  <si>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</si>
  <si>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</si>
  <si>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</si>
  <si>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</si>
  <si>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</si>
  <si>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</si>
  <si>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</si>
  <si>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</si>
  <si>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</si>
  <si>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</si>
  <si>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</si>
  <si>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</si>
  <si>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</si>
  <si>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</si>
  <si>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</si>
  <si>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</si>
  <si>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</si>
  <si>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</si>
  <si>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</si>
  <si>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</si>
  <si>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</si>
  <si>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</si>
  <si>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</si>
  <si>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</si>
  <si>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</si>
  <si>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</si>
  <si>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</si>
  <si>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</si>
  <si>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</si>
  <si>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</si>
  <si>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</si>
  <si>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</si>
  <si>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</si>
  <si>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</si>
  <si>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</si>
  <si>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</si>
  <si>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</si>
  <si>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</si>
  <si>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</si>
  <si>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</si>
  <si>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</si>
  <si>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</si>
  <si>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</si>
  <si>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</si>
  <si>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</si>
  <si>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</si>
  <si>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</si>
  <si>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</si>
  <si>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</si>
  <si>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</si>
  <si>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</si>
  <si>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</si>
  <si>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</si>
  <si>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</si>
  <si>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</si>
  <si>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</si>
  <si>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</si>
  <si>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</si>
  <si>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</si>
  <si>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</si>
  <si>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</si>
  <si>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</si>
  <si>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</si>
  <si>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</si>
  <si>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</si>
  <si>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</si>
  <si>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</si>
  <si>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</si>
  <si>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</si>
  <si>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</si>
  <si>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</si>
  <si>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</si>
  <si>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</si>
  <si>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</si>
  <si>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</si>
  <si>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</si>
  <si>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</si>
  <si>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</si>
  <si>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</si>
  <si>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</si>
  <si>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</si>
  <si>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</si>
  <si>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</si>
  <si>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</si>
  <si>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</si>
  <si>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</si>
  <si>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</si>
  <si>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</si>
  <si>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</si>
  <si>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</si>
  <si>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</si>
  <si>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</si>
  <si>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</si>
  <si>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</si>
  <si>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</si>
  <si>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</si>
  <si>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</si>
  <si>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</si>
  <si>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</si>
  <si>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</si>
  <si>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</si>
  <si>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</si>
  <si>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</si>
  <si>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</si>
  <si>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</si>
  <si>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</si>
  <si>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</si>
  <si>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</si>
  <si>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</si>
  <si>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</si>
  <si>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</si>
  <si>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</si>
  <si>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</si>
  <si>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</si>
  <si>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</si>
  <si>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</si>
  <si>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</si>
  <si>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</si>
  <si>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</si>
  <si>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</si>
  <si>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</si>
  <si>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</si>
  <si>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</si>
  <si>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</si>
  <si>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</si>
  <si>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</si>
  <si>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</si>
  <si>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</si>
  <si>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</si>
  <si>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</si>
  <si>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</si>
  <si>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</si>
  <si>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</si>
  <si>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</si>
  <si>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</si>
  <si>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</si>
  <si>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</si>
  <si>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</si>
  <si>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</si>
  <si>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</si>
  <si>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</si>
  <si>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</si>
  <si>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</si>
  <si>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</si>
  <si>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</si>
  <si>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</si>
  <si>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</si>
  <si>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</si>
  <si>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</si>
  <si>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</si>
  <si>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</si>
  <si>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</si>
  <si>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</si>
  <si>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</si>
  <si>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</si>
  <si>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</si>
  <si>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</si>
  <si>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</si>
  <si>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</si>
  <si>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</si>
  <si>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</si>
  <si>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</si>
  <si>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</si>
  <si>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</si>
  <si>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</si>
  <si>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</si>
  <si>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</si>
  <si>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</si>
  <si>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</si>
  <si>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</si>
  <si>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</si>
  <si>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</si>
  <si>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</si>
  <si>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</si>
  <si>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</si>
  <si>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</si>
  <si>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</si>
  <si>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</si>
  <si>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</si>
  <si>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</si>
  <si>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</si>
  <si>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</si>
  <si>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</si>
  <si>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</si>
  <si>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</si>
  <si>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</si>
  <si>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</si>
  <si>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</si>
  <si>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</si>
  <si>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</si>
  <si>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</si>
  <si>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</si>
  <si>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</si>
  <si>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</si>
  <si>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</si>
  <si>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</si>
  <si>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</si>
  <si>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</si>
  <si>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</si>
  <si>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</si>
  <si>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</si>
  <si>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</si>
  <si>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</si>
  <si>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</si>
  <si>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</si>
  <si>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</si>
  <si>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</si>
  <si>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</si>
  <si>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</si>
  <si>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</si>
  <si>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</si>
  <si>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</si>
  <si>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</si>
  <si>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</si>
  <si>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</si>
  <si>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</si>
  <si>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</si>
  <si>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</si>
  <si>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</si>
  <si>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</si>
  <si>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</si>
  <si>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</si>
  <si>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</si>
  <si>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</si>
  <si>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</si>
  <si>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</si>
  <si>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</si>
  <si>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</si>
  <si>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</si>
  <si>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</si>
  <si>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</si>
  <si>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</si>
  <si>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</si>
  <si>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</si>
  <si>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</si>
  <si>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</si>
  <si>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</si>
  <si>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</si>
  <si>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</si>
  <si>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</si>
  <si>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</si>
  <si>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</si>
  <si>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</si>
  <si>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</si>
  <si>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</si>
  <si>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</si>
  <si>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</si>
  <si>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</si>
  <si>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</si>
  <si>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</si>
  <si>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</si>
  <si>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</si>
  <si>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</si>
  <si>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</si>
  <si>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</si>
  <si>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</si>
  <si>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</si>
  <si>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</si>
  <si>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</si>
  <si>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</si>
  <si>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</si>
  <si>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</si>
  <si>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</si>
  <si>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</si>
  <si>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</si>
  <si>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</si>
  <si>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</si>
  <si>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</si>
  <si>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</si>
  <si>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</si>
  <si>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</si>
  <si>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</si>
  <si>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</si>
  <si>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</si>
  <si>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</si>
  <si>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</si>
  <si>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</si>
  <si>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</si>
  <si>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</si>
  <si>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</si>
  <si>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</si>
  <si>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</si>
  <si>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</si>
  <si>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</si>
  <si>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</si>
  <si>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</si>
  <si>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</si>
  <si>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</si>
  <si>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</si>
  <si>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</si>
  <si>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</si>
  <si>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</si>
  <si>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</si>
  <si>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</si>
  <si>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</si>
  <si>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</si>
  <si>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</si>
  <si>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</si>
  <si>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</si>
  <si>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</si>
  <si>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</si>
  <si>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</si>
  <si>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</si>
  <si>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</si>
  <si>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</si>
  <si>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</si>
  <si>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</si>
  <si>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</si>
  <si>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</si>
  <si>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</si>
  <si>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</si>
  <si>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</si>
  <si>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</si>
  <si>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</si>
  <si>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</si>
  <si>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</si>
  <si>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</si>
  <si>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</si>
  <si>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</si>
  <si>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</si>
  <si>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</si>
  <si>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</si>
  <si>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</si>
  <si>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</si>
  <si>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</si>
  <si>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</si>
  <si>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</si>
  <si>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</si>
  <si>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</si>
  <si>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</si>
  <si>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</si>
  <si>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</si>
  <si>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</si>
  <si>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</si>
  <si>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</si>
  <si>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</si>
  <si>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</si>
  <si>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</si>
  <si>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</si>
  <si>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</si>
  <si>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</si>
  <si>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</si>
  <si>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</si>
  <si>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</si>
  <si>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</si>
  <si>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</si>
  <si>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</si>
  <si>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</si>
  <si>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</si>
  <si>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</si>
  <si>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</si>
  <si>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</si>
  <si>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</si>
  <si>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</si>
  <si>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</si>
  <si>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</si>
  <si>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</si>
  <si>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</si>
  <si>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</si>
  <si>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</si>
  <si>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</si>
  <si>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</si>
  <si>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</si>
  <si>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</si>
  <si>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</si>
  <si>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</si>
  <si>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</si>
  <si>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</si>
  <si>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</si>
  <si>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</si>
  <si>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</si>
  <si>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</si>
  <si>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</si>
  <si>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</si>
  <si>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</si>
  <si>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</si>
  <si>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</si>
  <si>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</si>
  <si>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</si>
  <si>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</si>
  <si>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</si>
  <si>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</si>
  <si>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</si>
  <si>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</si>
  <si>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</si>
  <si>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</si>
  <si>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</si>
  <si>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</si>
  <si>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</si>
  <si>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</si>
  <si>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</si>
  <si>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</si>
  <si>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</si>
  <si>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</si>
  <si>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</si>
  <si>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</si>
  <si>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</si>
  <si>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</si>
  <si>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</si>
  <si>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</si>
  <si>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</si>
  <si>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</si>
  <si>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</si>
  <si>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</si>
  <si>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</si>
  <si>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</si>
  <si>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</si>
  <si>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</si>
  <si>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</si>
  <si>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</si>
  <si>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</si>
  <si>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</si>
  <si>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</si>
  <si>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</si>
  <si>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</si>
  <si>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</si>
  <si>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</si>
  <si>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</si>
  <si>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</si>
  <si>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</si>
  <si>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</si>
  <si>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</si>
  <si>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</si>
  <si>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</si>
  <si>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</si>
  <si>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</si>
  <si>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</si>
  <si>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</si>
  <si>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</si>
  <si>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</si>
  <si>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</si>
  <si>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</si>
  <si>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</si>
  <si>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</si>
  <si>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</si>
  <si>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</si>
  <si>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</si>
  <si>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</si>
  <si>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</si>
  <si>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</si>
  <si>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</si>
  <si>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</si>
  <si>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</si>
  <si>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</si>
  <si>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</si>
  <si>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</si>
  <si>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</si>
  <si>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</si>
  <si>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</si>
  <si>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</si>
  <si>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</si>
  <si>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</si>
  <si>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</si>
  <si>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</si>
  <si>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</si>
  <si>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</si>
  <si>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</si>
  <si>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</si>
  <si>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</si>
  <si>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</si>
  <si>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</si>
  <si>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</si>
  <si>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</si>
  <si>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</si>
  <si>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</si>
  <si>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</si>
  <si>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</si>
  <si>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</si>
  <si>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</si>
  <si>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</si>
  <si>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</si>
  <si>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</si>
  <si>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</si>
  <si>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</si>
  <si>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</si>
  <si>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</si>
  <si>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</si>
  <si>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</si>
  <si>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</si>
  <si>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</si>
  <si>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</si>
  <si>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</si>
  <si>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</si>
  <si>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</si>
  <si>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</si>
  <si>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</si>
  <si>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</si>
  <si>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</si>
  <si>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</si>
  <si>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</si>
  <si>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</si>
  <si>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</si>
  <si>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</si>
  <si>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</si>
  <si>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</si>
  <si>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</si>
  <si>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</si>
  <si>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</si>
  <si>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</si>
  <si>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</si>
  <si>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</si>
  <si>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</si>
  <si>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</si>
  <si>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</si>
  <si>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</si>
  <si>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</si>
  <si>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</si>
  <si>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</si>
  <si>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</si>
  <si>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</si>
  <si>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</si>
  <si>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</si>
  <si>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</si>
  <si>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</si>
  <si>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</si>
  <si>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</si>
  <si>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</si>
  <si>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</si>
  <si>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</si>
  <si>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</si>
  <si>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</si>
  <si>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</si>
  <si>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</si>
  <si>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</si>
  <si>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</si>
  <si>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</si>
  <si>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</si>
  <si>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</si>
  <si>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</si>
  <si>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</si>
  <si>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</si>
  <si>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</si>
  <si>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</si>
  <si>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</si>
  <si>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</si>
  <si>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</si>
  <si>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</si>
  <si>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</si>
  <si>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</si>
  <si>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</si>
  <si>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</si>
  <si>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</si>
  <si>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</si>
  <si>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</si>
  <si>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</si>
  <si>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</si>
  <si>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</si>
  <si>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</si>
  <si>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</si>
  <si>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</si>
  <si>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</si>
  <si>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</si>
  <si>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</si>
  <si>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</si>
  <si>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</si>
  <si>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</si>
  <si>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</si>
  <si>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</si>
  <si>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</si>
  <si>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</si>
  <si>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</si>
  <si>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</si>
  <si>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</si>
  <si>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</si>
  <si>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</si>
  <si>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</si>
  <si>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</si>
  <si>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</si>
  <si>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</si>
  <si>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</si>
  <si>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</si>
  <si>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</si>
  <si>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</si>
  <si>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</si>
  <si>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</si>
  <si>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</si>
  <si>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</si>
  <si>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</si>
  <si>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</si>
  <si>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</si>
  <si>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</si>
  <si>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</si>
  <si>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</si>
  <si>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</si>
  <si>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</si>
  <si>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</si>
  <si>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</si>
  <si>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</si>
  <si>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</si>
  <si>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</si>
  <si>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</si>
  <si>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</si>
  <si>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</si>
  <si>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</si>
  <si>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</si>
  <si>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</si>
  <si>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</si>
  <si>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</si>
  <si>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</si>
  <si>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</si>
  <si>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</si>
  <si>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</si>
  <si>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</si>
  <si>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</si>
  <si>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</si>
  <si>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</si>
  <si>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</si>
  <si>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</si>
  <si>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</si>
  <si>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</si>
  <si>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</si>
  <si>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</si>
  <si>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</si>
  <si>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</si>
  <si>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</si>
  <si>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</si>
  <si>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</si>
  <si>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</si>
  <si>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</si>
  <si>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</si>
  <si>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</si>
  <si>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</si>
  <si>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</si>
  <si>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</si>
  <si>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</si>
  <si>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</si>
  <si>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</si>
  <si>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</si>
  <si>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</si>
  <si>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</si>
  <si>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</si>
  <si>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</si>
  <si>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</si>
  <si>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</si>
  <si>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</si>
  <si>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</si>
  <si>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</si>
  <si>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</si>
  <si>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</si>
  <si>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</si>
  <si>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</si>
  <si>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</si>
  <si>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</si>
  <si>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</si>
  <si>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</si>
  <si>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</si>
  <si>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</si>
  <si>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</si>
  <si>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</si>
  <si>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</si>
  <si>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</si>
  <si>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</si>
  <si>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</si>
  <si>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</si>
  <si>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</si>
  <si>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</si>
  <si>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</si>
  <si>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</si>
  <si>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</si>
  <si>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</si>
  <si>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</si>
  <si>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</si>
  <si>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</si>
  <si>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</si>
  <si>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</si>
  <si>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</si>
  <si>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</si>
  <si>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</si>
  <si>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</si>
  <si>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</si>
  <si>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</si>
  <si>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</si>
  <si>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</si>
  <si>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</si>
  <si>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</si>
  <si>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</si>
  <si>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</si>
  <si>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</si>
  <si>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</si>
  <si>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</si>
  <si>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</si>
  <si>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</si>
  <si>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</si>
  <si>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</si>
  <si>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</si>
  <si>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</si>
  <si>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</si>
  <si>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</si>
  <si>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</si>
  <si>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</si>
  <si>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</si>
  <si>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</si>
  <si>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</si>
  <si>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</si>
  <si>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</si>
  <si>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</si>
  <si>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</si>
  <si>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</si>
  <si>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</si>
  <si>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</si>
  <si>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</si>
  <si>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</si>
  <si>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</si>
  <si>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</si>
  <si>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</si>
  <si>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</si>
  <si>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</si>
  <si>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</si>
  <si>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</si>
  <si>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</si>
  <si>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</si>
  <si>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</si>
  <si>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</si>
  <si>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</si>
  <si>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</si>
  <si>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</si>
  <si>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</si>
  <si>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</si>
  <si>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</si>
  <si>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</si>
  <si>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</si>
  <si>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</si>
  <si>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</si>
  <si>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</si>
  <si>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</si>
  <si>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</si>
  <si>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</si>
  <si>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</si>
  <si>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</si>
  <si>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</si>
  <si>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</si>
  <si>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</si>
  <si>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</si>
  <si>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</si>
  <si>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</si>
  <si>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</si>
  <si>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</si>
  <si>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</si>
  <si>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</si>
  <si>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</si>
  <si>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</si>
  <si>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</si>
  <si>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</si>
  <si>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</si>
  <si>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</si>
  <si>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</si>
  <si>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</si>
  <si>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</si>
  <si>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</si>
  <si>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</si>
  <si>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</si>
  <si>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</si>
  <si>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</si>
  <si>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</si>
  <si>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</si>
  <si>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</si>
  <si>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</si>
  <si>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</si>
  <si>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</si>
  <si>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</si>
  <si>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</si>
  <si>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</si>
  <si>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</si>
  <si>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</si>
  <si>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</si>
  <si>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</si>
  <si>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</si>
  <si>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</si>
  <si>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</si>
  <si>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</si>
  <si>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</si>
  <si>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</si>
  <si>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</si>
  <si>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</si>
  <si>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</si>
  <si>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</si>
  <si>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</si>
  <si>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</si>
  <si>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</si>
  <si>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</si>
  <si>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</si>
  <si>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</si>
  <si>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</si>
  <si>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</si>
  <si>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</si>
  <si>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</si>
  <si>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</si>
  <si>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</si>
  <si>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</si>
  <si>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</si>
  <si>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</si>
  <si>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</si>
  <si>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</si>
  <si>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</si>
  <si>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</si>
  <si>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</si>
  <si>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</si>
  <si>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</si>
  <si>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</si>
  <si>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</si>
  <si>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</si>
  <si>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</si>
  <si>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</si>
  <si>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</si>
  <si>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</si>
  <si>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</si>
  <si>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</si>
  <si>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</si>
  <si>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</si>
  <si>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</si>
  <si>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</si>
  <si>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</si>
  <si>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</si>
  <si>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</si>
  <si>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</si>
  <si>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</si>
  <si>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</si>
  <si>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</si>
  <si>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</si>
  <si>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</si>
  <si>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</si>
  <si>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</si>
  <si>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</si>
  <si>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</si>
  <si>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</si>
  <si>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</si>
  <si>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</si>
  <si>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</si>
  <si>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</si>
  <si>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</si>
  <si>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</si>
  <si>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</si>
  <si>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</si>
  <si>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</si>
  <si>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</si>
  <si>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</si>
  <si>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</si>
  <si>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</si>
  <si>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</si>
  <si>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</si>
  <si>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</si>
  <si>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</si>
  <si>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</si>
  <si>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</si>
  <si>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</si>
  <si>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</si>
  <si>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</si>
  <si>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</si>
  <si>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</si>
  <si>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</si>
  <si>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</si>
  <si>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</si>
  <si>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</si>
  <si>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</si>
  <si>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</si>
  <si>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</si>
  <si>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</si>
  <si>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</si>
  <si>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</si>
  <si>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</si>
  <si>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</si>
  <si>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</si>
  <si>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</si>
  <si>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</si>
  <si>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</si>
  <si>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</si>
  <si>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</si>
  <si>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</si>
  <si>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</si>
  <si>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</si>
  <si>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</si>
  <si>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</si>
  <si>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</si>
  <si>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</si>
  <si>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</si>
  <si>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</si>
  <si>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</si>
  <si>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</si>
  <si>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</si>
  <si>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</si>
  <si>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</si>
  <si>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</si>
  <si>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</si>
  <si>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</si>
  <si>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</si>
  <si>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</si>
  <si>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</si>
  <si>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</si>
  <si>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</si>
  <si>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</si>
  <si>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</si>
  <si>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</si>
  <si>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</si>
  <si>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</si>
  <si>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</si>
  <si>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</si>
  <si>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</si>
  <si>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</si>
  <si>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</si>
  <si>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</si>
  <si>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</si>
  <si>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</si>
  <si>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</si>
  <si>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</si>
  <si>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</si>
  <si>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</si>
  <si>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</si>
  <si>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</si>
  <si>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</si>
  <si>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</si>
  <si>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</si>
  <si>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</si>
  <si>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</si>
  <si>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</si>
  <si>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</si>
  <si>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</si>
  <si>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</si>
  <si>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</si>
  <si>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</si>
  <si>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</si>
  <si>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</si>
  <si>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</si>
  <si>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</si>
  <si>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</si>
  <si>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</si>
  <si>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</si>
  <si>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</si>
  <si>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</si>
  <si>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</si>
  <si>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</si>
  <si>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</si>
  <si>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</si>
  <si>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</si>
  <si>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</si>
  <si>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</si>
  <si>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</si>
  <si>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</si>
  <si>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</si>
  <si>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</si>
  <si>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</si>
  <si>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</si>
  <si>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</si>
  <si>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</si>
  <si>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</si>
  <si>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</si>
  <si>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</si>
  <si>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</si>
  <si>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</si>
  <si>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</si>
  <si>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</si>
  <si>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</si>
  <si>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</si>
  <si>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</si>
  <si>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</si>
  <si>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</si>
  <si>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</si>
  <si>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</si>
  <si>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</si>
  <si>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</si>
  <si>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</si>
  <si>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</si>
  <si>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</si>
  <si>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</si>
  <si>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</si>
  <si>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</si>
  <si>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</si>
  <si>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</si>
  <si>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</si>
  <si>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</si>
  <si>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</si>
  <si>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</si>
  <si>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</si>
  <si>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</si>
  <si>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</si>
  <si>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</si>
  <si>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</si>
  <si>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</si>
  <si>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</si>
  <si>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</si>
  <si>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</si>
  <si>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</si>
  <si>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</si>
  <si>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</si>
  <si>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</si>
  <si>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</si>
  <si>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</si>
  <si>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</si>
  <si>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</si>
  <si>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</si>
  <si>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</si>
  <si>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</si>
  <si>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</si>
  <si>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</si>
  <si>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</si>
  <si>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</si>
  <si>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</si>
  <si>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</si>
  <si>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</si>
  <si>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</si>
  <si>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</si>
  <si>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</si>
  <si>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</si>
  <si>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</si>
  <si>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</si>
  <si>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</si>
  <si>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</si>
  <si>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</si>
  <si>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</si>
  <si>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</si>
  <si>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</si>
  <si>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</si>
  <si>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</si>
  <si>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</si>
  <si>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</si>
  <si>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</si>
  <si>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</si>
  <si>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</si>
  <si>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</si>
  <si>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</si>
  <si>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</si>
  <si>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</si>
  <si>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</si>
  <si>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</si>
  <si>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</si>
  <si>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</si>
  <si>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</si>
  <si>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</si>
  <si>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</si>
  <si>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</si>
  <si>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</si>
  <si>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</si>
  <si>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</si>
  <si>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</si>
  <si>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</si>
  <si>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</si>
  <si>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</si>
  <si>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</si>
  <si>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</si>
  <si>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</si>
  <si>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</si>
  <si>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</si>
  <si>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</si>
  <si>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</si>
  <si>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</si>
  <si>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</si>
  <si>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</si>
  <si>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</si>
  <si>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</si>
  <si>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</si>
  <si>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</si>
  <si>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</si>
  <si>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</si>
  <si>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</si>
  <si>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</si>
  <si>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</si>
  <si>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</si>
  <si>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</si>
  <si>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</si>
  <si>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</si>
  <si>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</si>
  <si>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</si>
  <si>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</si>
  <si>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</si>
  <si>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</si>
  <si>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</si>
  <si>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</si>
  <si>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</si>
  <si>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</si>
  <si>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</si>
  <si>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</si>
  <si>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</si>
  <si>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</si>
  <si>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</si>
  <si>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</si>
  <si>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</si>
  <si>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</si>
  <si>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</si>
  <si>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</si>
  <si>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</si>
  <si>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</si>
  <si>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</si>
  <si>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</si>
  <si>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</si>
  <si>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</si>
  <si>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</si>
  <si>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</si>
  <si>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</si>
  <si>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</si>
  <si>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</si>
  <si>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</si>
  <si>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</si>
  <si>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</si>
  <si>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</si>
  <si>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</si>
  <si>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</si>
  <si>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</si>
  <si>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</si>
  <si>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</si>
  <si>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</si>
  <si>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</si>
  <si>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</si>
  <si>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</si>
  <si>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</si>
  <si>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</si>
  <si>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</si>
  <si>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</si>
  <si>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</si>
  <si>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</si>
  <si>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</si>
  <si>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</si>
  <si>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</si>
  <si>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</si>
  <si>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</si>
  <si>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</si>
  <si>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</si>
  <si>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</si>
  <si>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</si>
  <si>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</si>
  <si>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</si>
  <si>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</si>
  <si>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</si>
  <si>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</si>
  <si>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</si>
  <si>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</si>
  <si>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</si>
  <si>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</si>
  <si>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</si>
  <si>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</si>
  <si>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</si>
  <si>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</si>
  <si>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</si>
  <si>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</si>
  <si>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</si>
  <si>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</si>
  <si>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</si>
  <si>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</si>
  <si>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</si>
  <si>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</si>
  <si>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</si>
  <si>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</si>
  <si>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</si>
  <si>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</si>
  <si>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</si>
  <si>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</si>
  <si>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</si>
  <si>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</si>
  <si>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</si>
  <si>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</si>
  <si>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</si>
  <si>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</si>
  <si>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</si>
  <si>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</si>
  <si>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</si>
  <si>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</si>
  <si>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</si>
  <si>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</si>
  <si>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</si>
  <si>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</si>
  <si>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</si>
  <si>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</si>
  <si>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</si>
  <si>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</si>
  <si>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</si>
  <si>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</si>
  <si>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</si>
  <si>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</si>
  <si>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</si>
  <si>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</si>
  <si>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</si>
  <si>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</si>
  <si>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</si>
  <si>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</si>
  <si>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</si>
  <si>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</si>
  <si>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</si>
  <si>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</si>
  <si>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</si>
  <si>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</si>
  <si>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</si>
  <si>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</si>
  <si>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</si>
  <si>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</si>
  <si>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</si>
  <si>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</si>
  <si>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</si>
  <si>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</si>
  <si>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</si>
  <si>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</si>
  <si>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</si>
  <si>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</si>
  <si>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</si>
  <si>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</si>
  <si>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</si>
  <si>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</si>
  <si>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</si>
  <si>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</si>
  <si>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</si>
  <si>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</si>
  <si>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</si>
  <si>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</si>
  <si>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</si>
  <si>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</si>
  <si>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</si>
  <si>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</si>
  <si>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</si>
  <si>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</si>
  <si>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</si>
  <si>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</si>
  <si>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</si>
  <si>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</si>
  <si>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</si>
  <si>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</si>
  <si>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</si>
  <si>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</si>
  <si>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</si>
  <si>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</si>
  <si>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</si>
  <si>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</si>
  <si>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</si>
  <si>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</si>
  <si>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</si>
  <si>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</si>
  <si>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</si>
  <si>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</si>
  <si>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</si>
  <si>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</si>
  <si>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</si>
  <si>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</si>
  <si>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</si>
  <si>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</si>
  <si>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</si>
  <si>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</si>
  <si>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</si>
  <si>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</si>
  <si>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</si>
  <si>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</si>
  <si>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</si>
  <si>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</si>
  <si>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</si>
  <si>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</si>
  <si>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</si>
  <si>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</si>
  <si>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</si>
  <si>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</si>
  <si>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</si>
  <si>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</si>
  <si>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</si>
  <si>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</si>
  <si>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</si>
  <si>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</si>
  <si>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</si>
  <si>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</si>
  <si>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</si>
  <si>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</si>
  <si>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</si>
  <si>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</si>
  <si>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</si>
  <si>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</si>
  <si>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</si>
  <si>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</si>
  <si>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</si>
  <si>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</si>
  <si>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</si>
  <si>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</si>
  <si>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</si>
  <si>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</si>
  <si>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</si>
  <si>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</si>
  <si>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</si>
  <si>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</si>
  <si>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</si>
  <si>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</si>
  <si>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</si>
  <si>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</si>
  <si>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</si>
  <si>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</si>
  <si>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</si>
  <si>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</si>
  <si>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</si>
  <si>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</si>
  <si>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</si>
  <si>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</si>
  <si>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</si>
  <si>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</si>
  <si>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</si>
  <si>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</si>
  <si>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</si>
  <si>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</si>
  <si>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</si>
  <si>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</si>
  <si>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</si>
  <si>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</si>
  <si>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</si>
  <si>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</si>
  <si>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</si>
  <si>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</si>
  <si>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</si>
  <si>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</si>
  <si>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</si>
  <si>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</si>
  <si>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</si>
  <si>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</si>
  <si>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</si>
  <si>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</si>
  <si>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</si>
  <si>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</si>
  <si>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</si>
  <si>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</si>
  <si>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</si>
  <si>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</si>
  <si>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</si>
  <si>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</si>
  <si>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</si>
  <si>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</si>
  <si>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</si>
  <si>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</si>
  <si>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</si>
  <si>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</si>
  <si>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</si>
  <si>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</si>
  <si>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</si>
  <si>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</si>
  <si>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</si>
  <si>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</si>
  <si>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</si>
  <si>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</si>
  <si>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</si>
  <si>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</si>
  <si>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</si>
  <si>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</si>
  <si>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</si>
  <si>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</si>
  <si>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</si>
  <si>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</si>
  <si>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</si>
  <si>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</si>
  <si>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</si>
  <si>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</si>
  <si>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</si>
  <si>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</si>
  <si>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</si>
  <si>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</si>
  <si>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</si>
  <si>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</si>
  <si>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</si>
  <si>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</si>
  <si>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</si>
  <si>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</si>
  <si>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</si>
  <si>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</si>
  <si>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</si>
  <si>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</si>
  <si>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</si>
  <si>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</si>
  <si>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</si>
  <si>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</si>
  <si>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</si>
  <si>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</si>
  <si>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</si>
  <si>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</si>
  <si>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</si>
  <si>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</si>
  <si>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</si>
  <si>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</si>
  <si>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</si>
  <si>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</si>
  <si>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</si>
  <si>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</si>
  <si>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</si>
  <si>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</si>
  <si>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</si>
  <si>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</si>
  <si>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</si>
  <si>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</si>
  <si>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</si>
  <si>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</si>
  <si>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</si>
  <si>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</si>
  <si>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</si>
  <si>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</si>
  <si>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</si>
  <si>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</si>
  <si>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</si>
  <si>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</si>
  <si>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</si>
  <si>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</si>
  <si>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</si>
  <si>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</si>
  <si>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</si>
  <si>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</si>
  <si>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</si>
  <si>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</si>
  <si>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</si>
  <si>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</si>
  <si>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</si>
  <si>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</si>
  <si>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</si>
  <si>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</si>
  <si>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</si>
  <si>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</si>
  <si>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</si>
  <si>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</si>
  <si>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</si>
  <si>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</si>
  <si>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</si>
  <si>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</si>
  <si>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</si>
  <si>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</si>
  <si>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</si>
  <si>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</si>
  <si>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</si>
  <si>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</si>
  <si>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</si>
  <si>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</si>
  <si>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جمع کل 205 تا آخر 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</si>
  <si>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</si>
  <si>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</si>
  <si>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</si>
  <si>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</si>
  <si>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</si>
  <si>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</si>
  <si>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</si>
  <si>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</si>
  <si>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</si>
  <si>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</si>
  <si>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</si>
  <si>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</si>
  <si>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</si>
  <si>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7/1/1397</t>
  </si>
  <si>
    <t>واریز 850 حساب مریم و 20حساب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</si>
</sst>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28" workbookViewId="0">
      <selection activeCell="D47" sqref="D4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747</v>
      </c>
      <c r="F2" s="99">
        <f t="shared" ref="F2:F43" si="0">IF(B2&gt;0,1,0)</f>
        <v>1</v>
      </c>
      <c r="G2" s="99">
        <f>B2*(E2-F2)</f>
        <v>37300000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741</v>
      </c>
      <c r="F3" s="99">
        <f t="shared" si="0"/>
        <v>1</v>
      </c>
      <c r="G3" s="99">
        <f t="shared" ref="G3:G55" si="2">B3*(E3-F3)</f>
        <v>11100000000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739</v>
      </c>
      <c r="F4" s="99">
        <f t="shared" si="0"/>
        <v>0</v>
      </c>
      <c r="G4" s="99">
        <f t="shared" si="2"/>
        <v>-2217000000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738</v>
      </c>
      <c r="F5" s="99">
        <f t="shared" si="0"/>
        <v>0</v>
      </c>
      <c r="G5" s="99">
        <f t="shared" si="2"/>
        <v>-2362264200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736</v>
      </c>
      <c r="F6" s="99">
        <f t="shared" si="0"/>
        <v>0</v>
      </c>
      <c r="G6" s="99">
        <f>B6*(E6-F6)</f>
        <v>-2208662400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734</v>
      </c>
      <c r="F7" s="99">
        <f t="shared" si="0"/>
        <v>0</v>
      </c>
      <c r="G7" s="99">
        <f t="shared" si="2"/>
        <v>-4261530600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712</v>
      </c>
      <c r="F8" s="99">
        <f t="shared" si="0"/>
        <v>1</v>
      </c>
      <c r="G8" s="99">
        <f t="shared" si="2"/>
        <v>38690487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440</v>
      </c>
      <c r="F9" s="99">
        <f t="shared" si="0"/>
        <v>0</v>
      </c>
      <c r="G9" s="99">
        <f>B9*(E9-F9)</f>
        <v>-35200000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375</v>
      </c>
      <c r="F10" s="99">
        <f t="shared" si="0"/>
        <v>1</v>
      </c>
      <c r="G10" s="99">
        <f t="shared" si="2"/>
        <v>317900000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361</v>
      </c>
      <c r="F11" s="99">
        <f t="shared" si="0"/>
        <v>0</v>
      </c>
      <c r="G11" s="99">
        <f t="shared" si="2"/>
        <v>-252700000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355</v>
      </c>
      <c r="F12" s="99">
        <f t="shared" si="0"/>
        <v>1</v>
      </c>
      <c r="G12" s="99">
        <f t="shared" si="2"/>
        <v>354000000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347</v>
      </c>
      <c r="F13" s="99">
        <f t="shared" si="0"/>
        <v>1</v>
      </c>
      <c r="G13" s="99">
        <f t="shared" si="2"/>
        <v>1680522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346</v>
      </c>
      <c r="F14" s="99">
        <f t="shared" si="0"/>
        <v>0</v>
      </c>
      <c r="G14" s="99">
        <f t="shared" si="2"/>
        <v>-66086000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331</v>
      </c>
      <c r="F15" s="99">
        <f t="shared" si="0"/>
        <v>0</v>
      </c>
      <c r="G15" s="99">
        <f t="shared" si="2"/>
        <v>-66200000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315</v>
      </c>
      <c r="F16" s="99">
        <f t="shared" si="0"/>
        <v>0</v>
      </c>
      <c r="G16" s="99">
        <f t="shared" si="2"/>
        <v>-218722140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308</v>
      </c>
      <c r="F17" s="99">
        <f t="shared" si="0"/>
        <v>1</v>
      </c>
      <c r="G17" s="99">
        <f t="shared" si="2"/>
        <v>15350000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285</v>
      </c>
      <c r="F18" s="99">
        <f t="shared" si="0"/>
        <v>1</v>
      </c>
      <c r="G18" s="99">
        <f t="shared" si="2"/>
        <v>297348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277</v>
      </c>
      <c r="F19" s="99">
        <f t="shared" si="0"/>
        <v>1</v>
      </c>
      <c r="G19" s="99">
        <f t="shared" si="2"/>
        <v>216798000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276</v>
      </c>
      <c r="F20" s="99">
        <f t="shared" si="0"/>
        <v>0</v>
      </c>
      <c r="G20" s="99">
        <f t="shared" si="2"/>
        <v>-15870000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276</v>
      </c>
      <c r="F21" s="99">
        <f t="shared" si="0"/>
        <v>1</v>
      </c>
      <c r="G21" s="99">
        <f t="shared" si="2"/>
        <v>1677225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266</v>
      </c>
      <c r="F22" s="99">
        <f t="shared" si="0"/>
        <v>0</v>
      </c>
      <c r="G22" s="99">
        <f t="shared" si="2"/>
        <v>-22610000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262</v>
      </c>
      <c r="F23" s="99">
        <f t="shared" si="0"/>
        <v>0</v>
      </c>
      <c r="G23" s="99">
        <f t="shared" si="2"/>
        <v>-47160000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262</v>
      </c>
      <c r="F24" s="99">
        <f t="shared" si="0"/>
        <v>0</v>
      </c>
      <c r="G24" s="99">
        <f t="shared" si="2"/>
        <v>-18078000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256</v>
      </c>
      <c r="F25" s="99">
        <f t="shared" si="0"/>
        <v>0</v>
      </c>
      <c r="G25" s="99">
        <f t="shared" si="2"/>
        <v>-2201600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256</v>
      </c>
      <c r="F26" s="99">
        <f t="shared" si="0"/>
        <v>0</v>
      </c>
      <c r="G26" s="99">
        <f t="shared" si="2"/>
        <v>-10240000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256</v>
      </c>
      <c r="F27" s="99">
        <f t="shared" si="0"/>
        <v>0</v>
      </c>
      <c r="G27" s="99">
        <f t="shared" si="2"/>
        <v>-23680000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256</v>
      </c>
      <c r="F28" s="99">
        <f t="shared" si="0"/>
        <v>0</v>
      </c>
      <c r="G28" s="99">
        <f t="shared" si="2"/>
        <v>-12032000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255</v>
      </c>
      <c r="F29" s="99">
        <f t="shared" si="0"/>
        <v>0</v>
      </c>
      <c r="G29" s="99">
        <f t="shared" si="2"/>
        <v>-19762500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255</v>
      </c>
      <c r="F30" s="99">
        <f t="shared" si="0"/>
        <v>0</v>
      </c>
      <c r="G30" s="99">
        <f t="shared" si="2"/>
        <v>-14535000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255</v>
      </c>
      <c r="F31" s="99">
        <f t="shared" si="0"/>
        <v>0</v>
      </c>
      <c r="G31" s="99">
        <f t="shared" si="2"/>
        <v>-11475000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255</v>
      </c>
      <c r="F32" s="99">
        <f t="shared" si="0"/>
        <v>0</v>
      </c>
      <c r="G32" s="99">
        <f t="shared" si="2"/>
        <v>-7650000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252</v>
      </c>
      <c r="F33" s="99">
        <f t="shared" si="0"/>
        <v>1</v>
      </c>
      <c r="G33" s="99">
        <f t="shared" si="2"/>
        <v>251000000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251</v>
      </c>
      <c r="F34" s="99">
        <f t="shared" si="0"/>
        <v>0</v>
      </c>
      <c r="G34" s="99">
        <f t="shared" si="2"/>
        <v>-20004700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244</v>
      </c>
      <c r="F35" s="99">
        <f t="shared" si="0"/>
        <v>0</v>
      </c>
      <c r="G35" s="99">
        <f t="shared" si="2"/>
        <v>-289628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239</v>
      </c>
      <c r="F36" s="99">
        <f t="shared" si="0"/>
        <v>0</v>
      </c>
      <c r="G36" s="99">
        <f t="shared" si="2"/>
        <v>-13207618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238</v>
      </c>
      <c r="F37" s="99">
        <f t="shared" si="0"/>
        <v>0</v>
      </c>
      <c r="G37" s="99">
        <f t="shared" si="2"/>
        <v>-3736600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231</v>
      </c>
      <c r="F38" s="99">
        <f t="shared" si="0"/>
        <v>0</v>
      </c>
      <c r="G38" s="99">
        <f t="shared" si="2"/>
        <v>-40656000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230</v>
      </c>
      <c r="F39" s="99">
        <f t="shared" si="0"/>
        <v>0</v>
      </c>
      <c r="G39" s="99">
        <f t="shared" si="2"/>
        <v>-15778000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223</v>
      </c>
      <c r="F40" s="99">
        <f t="shared" si="0"/>
        <v>0</v>
      </c>
      <c r="G40" s="99">
        <f t="shared" si="2"/>
        <v>-789420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5" si="5">E42+D41</f>
        <v>219</v>
      </c>
      <c r="F41" s="99">
        <f t="shared" si="0"/>
        <v>0</v>
      </c>
      <c r="G41" s="99">
        <f t="shared" si="2"/>
        <v>-69007119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217</v>
      </c>
      <c r="F42" s="99">
        <f t="shared" si="0"/>
        <v>0</v>
      </c>
      <c r="G42" s="99">
        <f t="shared" si="2"/>
        <v>-90272000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84</v>
      </c>
      <c r="F43" s="99">
        <f t="shared" si="0"/>
        <v>1</v>
      </c>
      <c r="G43" s="99">
        <f t="shared" si="2"/>
        <v>8300000</v>
      </c>
    </row>
    <row r="44" spans="1:14">
      <c r="A44" s="99" t="s">
        <v>4816</v>
      </c>
      <c r="B44" s="113">
        <v>-31000</v>
      </c>
      <c r="C44" s="99" t="s">
        <v>4829</v>
      </c>
      <c r="D44" s="99">
        <v>19</v>
      </c>
      <c r="E44" s="99">
        <f t="shared" ref="E44:E54" si="6">E45+D44</f>
        <v>26</v>
      </c>
      <c r="F44" s="99">
        <f t="shared" ref="F44:F54" si="7">IF(B44&gt;0,1,0)</f>
        <v>0</v>
      </c>
      <c r="G44" s="99">
        <f t="shared" ref="G44:G54" si="8">B44*(E44-F44)</f>
        <v>-806000</v>
      </c>
    </row>
    <row r="45" spans="1:14">
      <c r="A45" s="99" t="s">
        <v>4924</v>
      </c>
      <c r="B45" s="113">
        <v>2060725</v>
      </c>
      <c r="C45" s="99" t="s">
        <v>4929</v>
      </c>
      <c r="D45" s="99">
        <v>6</v>
      </c>
      <c r="E45" s="99">
        <f t="shared" si="6"/>
        <v>7</v>
      </c>
      <c r="F45" s="99">
        <f t="shared" si="7"/>
        <v>1</v>
      </c>
      <c r="G45" s="99">
        <f t="shared" si="8"/>
        <v>12364350</v>
      </c>
    </row>
    <row r="46" spans="1:14">
      <c r="A46" s="99" t="s">
        <v>4962</v>
      </c>
      <c r="B46" s="113">
        <v>-1073169</v>
      </c>
      <c r="C46" s="99" t="s">
        <v>4963</v>
      </c>
      <c r="D46" s="99">
        <v>1</v>
      </c>
      <c r="E46" s="99">
        <f t="shared" si="6"/>
        <v>1</v>
      </c>
      <c r="F46" s="99">
        <f t="shared" si="7"/>
        <v>0</v>
      </c>
      <c r="G46" s="99">
        <f t="shared" si="8"/>
        <v>-1073169</v>
      </c>
    </row>
    <row r="47" spans="1:14">
      <c r="A47" s="99"/>
      <c r="B47" s="113"/>
      <c r="C47" s="99"/>
      <c r="D47" s="99"/>
      <c r="E47" s="99">
        <f t="shared" si="6"/>
        <v>0</v>
      </c>
      <c r="F47" s="99">
        <f t="shared" si="7"/>
        <v>0</v>
      </c>
      <c r="G47" s="99">
        <f t="shared" si="8"/>
        <v>0</v>
      </c>
      <c r="L47" t="s">
        <v>25</v>
      </c>
    </row>
    <row r="48" spans="1:14">
      <c r="A48" s="99"/>
      <c r="B48" s="113"/>
      <c r="C48" s="99"/>
      <c r="D48" s="99"/>
      <c r="E48" s="99">
        <f t="shared" si="6"/>
        <v>0</v>
      </c>
      <c r="F48" s="99">
        <f t="shared" si="7"/>
        <v>0</v>
      </c>
      <c r="G48" s="99">
        <f t="shared" si="8"/>
        <v>0</v>
      </c>
      <c r="L48" t="s">
        <v>25</v>
      </c>
    </row>
    <row r="49" spans="1:7">
      <c r="A49" s="99"/>
      <c r="B49" s="113"/>
      <c r="C49" s="99"/>
      <c r="D49" s="99"/>
      <c r="E49" s="99">
        <f t="shared" si="6"/>
        <v>0</v>
      </c>
      <c r="F49" s="99">
        <f t="shared" si="7"/>
        <v>0</v>
      </c>
      <c r="G49" s="99">
        <f t="shared" si="8"/>
        <v>0</v>
      </c>
    </row>
    <row r="50" spans="1:7">
      <c r="A50" s="99"/>
      <c r="B50" s="113"/>
      <c r="C50" s="99"/>
      <c r="D50" s="99"/>
      <c r="E50" s="99">
        <f t="shared" si="6"/>
        <v>0</v>
      </c>
      <c r="F50" s="99">
        <f t="shared" si="7"/>
        <v>0</v>
      </c>
      <c r="G50" s="99">
        <f t="shared" si="8"/>
        <v>0</v>
      </c>
    </row>
    <row r="51" spans="1:7">
      <c r="A51" s="99"/>
      <c r="B51" s="113"/>
      <c r="C51" s="99"/>
      <c r="D51" s="99"/>
      <c r="E51" s="99">
        <f t="shared" si="6"/>
        <v>0</v>
      </c>
      <c r="F51" s="99">
        <f t="shared" si="7"/>
        <v>0</v>
      </c>
      <c r="G51" s="99">
        <f t="shared" si="8"/>
        <v>0</v>
      </c>
    </row>
    <row r="52" spans="1:7">
      <c r="A52" s="99"/>
      <c r="B52" s="113"/>
      <c r="C52" s="99"/>
      <c r="D52" s="99"/>
      <c r="E52" s="99">
        <f t="shared" si="6"/>
        <v>0</v>
      </c>
      <c r="F52" s="99">
        <f t="shared" si="7"/>
        <v>0</v>
      </c>
      <c r="G52" s="99">
        <f t="shared" si="8"/>
        <v>0</v>
      </c>
    </row>
    <row r="53" spans="1:7">
      <c r="A53" s="99"/>
      <c r="B53" s="113"/>
      <c r="C53" s="99"/>
      <c r="D53" s="99">
        <v>0</v>
      </c>
      <c r="E53" s="99">
        <f t="shared" si="6"/>
        <v>0</v>
      </c>
      <c r="F53" s="99">
        <f t="shared" si="7"/>
        <v>0</v>
      </c>
      <c r="G53" s="99">
        <f t="shared" si="8"/>
        <v>0</v>
      </c>
    </row>
    <row r="54" spans="1:7">
      <c r="A54" s="99"/>
      <c r="B54" s="113"/>
      <c r="C54" s="99"/>
      <c r="D54" s="99">
        <v>0</v>
      </c>
      <c r="E54" s="99">
        <f t="shared" si="6"/>
        <v>0</v>
      </c>
      <c r="F54" s="99">
        <f t="shared" si="7"/>
        <v>0</v>
      </c>
      <c r="G54" s="99">
        <f t="shared" si="8"/>
        <v>0</v>
      </c>
    </row>
    <row r="55" spans="1:7">
      <c r="A55" s="99"/>
      <c r="B55" s="113"/>
      <c r="C55" s="99"/>
      <c r="D55" s="99"/>
      <c r="E55" s="99">
        <f t="shared" si="5"/>
        <v>0</v>
      </c>
      <c r="F55" s="99">
        <f>IF(B33&gt;0,1,0)</f>
        <v>1</v>
      </c>
      <c r="G55" s="99">
        <f t="shared" si="2"/>
        <v>0</v>
      </c>
    </row>
    <row r="56" spans="1:7">
      <c r="A56" s="99"/>
      <c r="B56" s="95">
        <f>SUM(B2:B55)</f>
        <v>1065230</v>
      </c>
      <c r="C56" s="99"/>
      <c r="D56" s="99"/>
      <c r="E56" s="99"/>
      <c r="F56" s="99"/>
      <c r="G56" s="95">
        <f>SUM(G2:G33)</f>
        <v>441034142</v>
      </c>
    </row>
    <row r="57" spans="1:7">
      <c r="A57" s="99"/>
      <c r="B57" s="99" t="s">
        <v>283</v>
      </c>
      <c r="C57" s="99"/>
      <c r="D57" s="99"/>
      <c r="E57" s="99"/>
      <c r="F57" s="99" t="s">
        <v>25</v>
      </c>
      <c r="G57" s="99" t="s">
        <v>284</v>
      </c>
    </row>
    <row r="58" spans="1:7">
      <c r="A58" s="99"/>
      <c r="B58" s="99"/>
      <c r="C58" s="99"/>
      <c r="D58" s="99"/>
      <c r="E58" s="99"/>
      <c r="F58" s="99"/>
      <c r="G58" s="99"/>
    </row>
    <row r="59" spans="1:7">
      <c r="A59" s="99"/>
      <c r="B59" s="99"/>
      <c r="C59" s="99"/>
      <c r="D59" s="99"/>
      <c r="E59" s="99"/>
      <c r="F59" s="99"/>
      <c r="G59" s="113">
        <f>G56/E2</f>
        <v>590407.15127175371</v>
      </c>
    </row>
    <row r="60" spans="1:7">
      <c r="A60" s="99"/>
      <c r="B60" s="99"/>
      <c r="C60" s="99"/>
      <c r="D60" s="99"/>
      <c r="E60" s="99"/>
      <c r="F60" s="99"/>
      <c r="G60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4876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4876</v>
      </c>
      <c r="I46" s="11">
        <v>248200</v>
      </c>
      <c r="J46" s="11" t="s">
        <v>4888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0" workbookViewId="0">
      <selection activeCell="E44" sqref="E44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6" t="s">
        <v>0</v>
      </c>
      <c r="B1" s="216" t="s">
        <v>1</v>
      </c>
      <c r="C1" s="216" t="s">
        <v>4</v>
      </c>
      <c r="D1" s="216" t="s">
        <v>5</v>
      </c>
      <c r="E1" s="2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6" t="s">
        <v>4955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6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4957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4951</v>
      </c>
      <c r="B4" s="18">
        <v>-960200</v>
      </c>
      <c r="C4" s="18">
        <v>0</v>
      </c>
      <c r="D4" s="113">
        <f t="shared" si="0"/>
        <v>-960200</v>
      </c>
      <c r="E4" s="99" t="s">
        <v>4958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4828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4828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4828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4839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4839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4839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4843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4844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4844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4849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4849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4893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4905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4912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4912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4912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4914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4914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4915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4915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4935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4935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4935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6" t="s">
        <v>4631</v>
      </c>
      <c r="B33" s="216">
        <v>0</v>
      </c>
      <c r="C33" s="216">
        <v>0</v>
      </c>
      <c r="D33" s="216">
        <f t="shared" si="0"/>
        <v>0</v>
      </c>
      <c r="E33" s="216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6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6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4959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4956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4961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/>
      <c r="E44" s="122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/>
      <c r="E45" s="122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/>
      <c r="E46" s="122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/>
      <c r="E47" s="122"/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/>
      <c r="E48" s="122"/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/>
      <c r="E49" s="122"/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/>
      <c r="E50" s="12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/>
      <c r="E51" s="122"/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/>
      <c r="E52" s="122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/>
      <c r="E53" s="122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/>
      <c r="E54" s="122"/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/>
      <c r="E56" s="96"/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2591212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4597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4605</v>
      </c>
      <c r="B286" s="18">
        <v>-2010700</v>
      </c>
      <c r="C286" s="18">
        <v>0</v>
      </c>
      <c r="D286" s="18">
        <f t="shared" si="18"/>
        <v>-2010700</v>
      </c>
      <c r="E286" s="99" t="s">
        <v>4610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4605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4611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4621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4626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4626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4631</v>
      </c>
      <c r="B293" s="18">
        <v>-96850</v>
      </c>
      <c r="C293" s="18">
        <v>0</v>
      </c>
      <c r="D293" s="18">
        <f t="shared" si="18"/>
        <v>-96850</v>
      </c>
      <c r="E293" s="99" t="s">
        <v>4637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4641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4641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4657</v>
      </c>
      <c r="B296" s="18">
        <v>-200000</v>
      </c>
      <c r="C296" s="18">
        <v>0</v>
      </c>
      <c r="D296" s="18">
        <f t="shared" si="18"/>
        <v>-200000</v>
      </c>
      <c r="E296" s="99" t="s">
        <v>4658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4668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4674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4674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4674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4674</v>
      </c>
      <c r="B301" s="18">
        <v>-51400</v>
      </c>
      <c r="C301" s="18">
        <v>0</v>
      </c>
      <c r="D301" s="18">
        <f t="shared" si="18"/>
        <v>-51400</v>
      </c>
      <c r="E301" s="99" t="s">
        <v>4681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4684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4684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4711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4711</v>
      </c>
      <c r="B305" s="18">
        <v>-276773</v>
      </c>
      <c r="C305" s="18">
        <v>0</v>
      </c>
      <c r="D305" s="18">
        <f t="shared" si="18"/>
        <v>-276773</v>
      </c>
      <c r="E305" s="99" t="s">
        <v>4715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4716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4732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4738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4738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4749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4740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4741</v>
      </c>
      <c r="B312" s="18">
        <v>-324747</v>
      </c>
      <c r="C312" s="18">
        <v>0</v>
      </c>
      <c r="D312" s="18">
        <f t="shared" si="18"/>
        <v>-324747</v>
      </c>
      <c r="E312" s="99" t="s">
        <v>4750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4759</v>
      </c>
      <c r="B313" s="18">
        <v>-297992</v>
      </c>
      <c r="C313" s="18">
        <v>0</v>
      </c>
      <c r="D313" s="18">
        <f t="shared" si="18"/>
        <v>-297992</v>
      </c>
      <c r="E313" s="99" t="s">
        <v>4760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4768</v>
      </c>
      <c r="B315" s="18">
        <v>-40000</v>
      </c>
      <c r="C315" s="18">
        <v>0</v>
      </c>
      <c r="D315" s="18">
        <f t="shared" si="18"/>
        <v>-40000</v>
      </c>
      <c r="E315" s="99" t="s">
        <v>4785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4791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4816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4828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4828</v>
      </c>
      <c r="B319" s="18">
        <v>-1866154</v>
      </c>
      <c r="C319" s="18">
        <v>0</v>
      </c>
      <c r="D319" s="18">
        <f t="shared" si="18"/>
        <v>-1866154</v>
      </c>
      <c r="E319" s="19" t="s">
        <v>4837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4828</v>
      </c>
      <c r="B320" s="18">
        <v>-36600</v>
      </c>
      <c r="C320" s="18">
        <v>0</v>
      </c>
      <c r="D320" s="18">
        <f t="shared" si="18"/>
        <v>-36600</v>
      </c>
      <c r="E320" s="99" t="s">
        <v>4838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4839</v>
      </c>
      <c r="B321" s="18">
        <v>-492000</v>
      </c>
      <c r="C321" s="18">
        <v>0</v>
      </c>
      <c r="D321" s="18">
        <f t="shared" si="18"/>
        <v>-492000</v>
      </c>
      <c r="E321" s="99" t="s">
        <v>4840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4839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4839</v>
      </c>
      <c r="B323" s="18">
        <v>-40000</v>
      </c>
      <c r="C323" s="18">
        <v>0</v>
      </c>
      <c r="D323" s="18">
        <f t="shared" si="18"/>
        <v>-40000</v>
      </c>
      <c r="E323" s="99" t="s">
        <v>4842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4843</v>
      </c>
      <c r="B324" s="18">
        <v>-66000</v>
      </c>
      <c r="C324" s="18">
        <v>0</v>
      </c>
      <c r="D324" s="18">
        <f t="shared" si="18"/>
        <v>-66000</v>
      </c>
      <c r="E324" s="99" t="s">
        <v>4842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4844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4844</v>
      </c>
      <c r="B326" s="18">
        <v>-200500</v>
      </c>
      <c r="C326" s="18">
        <v>0</v>
      </c>
      <c r="D326" s="18">
        <f t="shared" si="18"/>
        <v>-200500</v>
      </c>
      <c r="E326" s="99" t="s">
        <v>4845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4849</v>
      </c>
      <c r="B327" s="18">
        <v>1563000</v>
      </c>
      <c r="C327" s="18">
        <v>0</v>
      </c>
      <c r="D327" s="18">
        <f t="shared" si="18"/>
        <v>1563000</v>
      </c>
      <c r="E327" s="99" t="s">
        <v>4855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4849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4864</v>
      </c>
      <c r="B329" s="18">
        <v>-20000</v>
      </c>
      <c r="C329" s="18">
        <v>0</v>
      </c>
      <c r="D329" s="18">
        <f t="shared" si="18"/>
        <v>-20000</v>
      </c>
      <c r="E329" s="99" t="s">
        <v>4869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4881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4887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4893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4905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4912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4912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4912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4914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4914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4915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4915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4924</v>
      </c>
      <c r="B341" s="18">
        <v>433375</v>
      </c>
      <c r="C341" s="18">
        <v>0</v>
      </c>
      <c r="D341" s="18">
        <f t="shared" si="18"/>
        <v>433375</v>
      </c>
      <c r="E341" s="99" t="s">
        <v>4929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4935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4935</v>
      </c>
      <c r="B343" s="18">
        <v>-300000</v>
      </c>
      <c r="C343" s="18">
        <v>0</v>
      </c>
      <c r="D343" s="18">
        <f t="shared" si="18"/>
        <v>-300000</v>
      </c>
      <c r="E343" s="99" t="s">
        <v>4938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4935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4947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4957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4951</v>
      </c>
      <c r="B347" s="18">
        <v>-960200</v>
      </c>
      <c r="C347" s="18">
        <v>0</v>
      </c>
      <c r="D347" s="18">
        <f t="shared" si="18"/>
        <v>-960200</v>
      </c>
      <c r="E347" s="99" t="s">
        <v>4958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4768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4778</v>
      </c>
      <c r="B75" s="113">
        <v>-20000</v>
      </c>
      <c r="C75" s="99" t="s">
        <v>4786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4605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4611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4621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4626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4626</v>
      </c>
      <c r="B29" s="18">
        <v>-77315</v>
      </c>
      <c r="C29" s="18">
        <v>0</v>
      </c>
      <c r="D29" s="113">
        <f t="shared" si="0"/>
        <v>-77315</v>
      </c>
      <c r="E29" s="19" t="s">
        <v>4629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4631</v>
      </c>
      <c r="B30" s="18">
        <v>-66850</v>
      </c>
      <c r="C30" s="18">
        <v>0</v>
      </c>
      <c r="D30" s="113">
        <f t="shared" si="0"/>
        <v>-66850</v>
      </c>
      <c r="E30" s="19" t="s">
        <v>4636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4631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4635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4631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4657</v>
      </c>
      <c r="B5" s="18">
        <v>-200000</v>
      </c>
      <c r="C5" s="18">
        <v>0</v>
      </c>
      <c r="D5" s="113">
        <f t="shared" si="0"/>
        <v>-200000</v>
      </c>
      <c r="E5" s="20" t="s">
        <v>4654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4668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4674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4674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4674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4674</v>
      </c>
      <c r="B10" s="18">
        <v>-51400</v>
      </c>
      <c r="C10" s="18">
        <v>0</v>
      </c>
      <c r="D10" s="113">
        <f t="shared" si="0"/>
        <v>-51400</v>
      </c>
      <c r="E10" s="19" t="s">
        <v>4681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4684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4684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4711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4711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4711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4716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4732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4738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4738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4749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4740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4741</v>
      </c>
      <c r="B22" s="18">
        <v>-324747</v>
      </c>
      <c r="C22" s="18">
        <v>0</v>
      </c>
      <c r="D22" s="113">
        <f t="shared" si="0"/>
        <v>-324747</v>
      </c>
      <c r="E22" s="19" t="s">
        <v>4750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4759</v>
      </c>
      <c r="B23" s="18">
        <v>-297992</v>
      </c>
      <c r="C23" s="18">
        <v>0</v>
      </c>
      <c r="D23" s="113">
        <f t="shared" si="0"/>
        <v>-297992</v>
      </c>
      <c r="E23" s="19" t="s">
        <v>4760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4768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4631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4739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4748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4784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6" t="s">
        <v>0</v>
      </c>
      <c r="B1" s="216" t="s">
        <v>1</v>
      </c>
      <c r="C1" s="216" t="s">
        <v>4</v>
      </c>
      <c r="D1" s="216" t="s">
        <v>5</v>
      </c>
      <c r="E1" s="2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6" t="s">
        <v>4778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6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4791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4816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4828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4828</v>
      </c>
      <c r="B6" s="18">
        <v>-1866154</v>
      </c>
      <c r="C6" s="18">
        <v>0</v>
      </c>
      <c r="D6" s="113">
        <f t="shared" si="0"/>
        <v>-1866154</v>
      </c>
      <c r="E6" s="19" t="s">
        <v>4837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4828</v>
      </c>
      <c r="B7" s="18">
        <v>-36600</v>
      </c>
      <c r="C7" s="18">
        <v>0</v>
      </c>
      <c r="D7" s="113">
        <f t="shared" si="0"/>
        <v>-36600</v>
      </c>
      <c r="E7" s="19" t="s">
        <v>4838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4839</v>
      </c>
      <c r="B8" s="18">
        <v>-492000</v>
      </c>
      <c r="C8" s="18">
        <v>0</v>
      </c>
      <c r="D8" s="113">
        <f t="shared" si="0"/>
        <v>-492000</v>
      </c>
      <c r="E8" s="19" t="s">
        <v>4840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4839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4839</v>
      </c>
      <c r="B10" s="18">
        <v>-40000</v>
      </c>
      <c r="C10" s="18">
        <v>0</v>
      </c>
      <c r="D10" s="113">
        <f t="shared" si="0"/>
        <v>-40000</v>
      </c>
      <c r="E10" s="19" t="s">
        <v>4842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4843</v>
      </c>
      <c r="B11" s="18">
        <v>-66000</v>
      </c>
      <c r="C11" s="18">
        <v>0</v>
      </c>
      <c r="D11" s="113">
        <f t="shared" si="0"/>
        <v>-66000</v>
      </c>
      <c r="E11" s="19" t="s">
        <v>4842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4844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4844</v>
      </c>
      <c r="B13" s="18">
        <v>-200500</v>
      </c>
      <c r="C13" s="18">
        <v>0</v>
      </c>
      <c r="D13" s="113">
        <f t="shared" si="0"/>
        <v>-200500</v>
      </c>
      <c r="E13" s="20" t="s">
        <v>4845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4849</v>
      </c>
      <c r="B14" s="18">
        <v>1563000</v>
      </c>
      <c r="C14" s="18">
        <v>0</v>
      </c>
      <c r="D14" s="113">
        <f t="shared" si="0"/>
        <v>1563000</v>
      </c>
      <c r="E14" s="20" t="s">
        <v>4855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4849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4864</v>
      </c>
      <c r="B16" s="18">
        <v>-20000</v>
      </c>
      <c r="C16" s="18">
        <v>0</v>
      </c>
      <c r="D16" s="113">
        <f t="shared" si="0"/>
        <v>-20000</v>
      </c>
      <c r="E16" s="20" t="s">
        <v>4869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4881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4886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4893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4905</v>
      </c>
      <c r="B20" s="18">
        <v>400000</v>
      </c>
      <c r="C20" s="18">
        <v>0</v>
      </c>
      <c r="D20" s="113">
        <f t="shared" si="0"/>
        <v>400000</v>
      </c>
      <c r="E20" s="19" t="s">
        <v>4910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4912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4912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4912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4914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4914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4915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4915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4924</v>
      </c>
      <c r="B28" s="18">
        <v>433375</v>
      </c>
      <c r="C28" s="18">
        <v>0</v>
      </c>
      <c r="D28" s="113">
        <f t="shared" si="0"/>
        <v>433375</v>
      </c>
      <c r="E28" s="19" t="s">
        <v>4929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4935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4935</v>
      </c>
      <c r="B30" s="18">
        <v>-300000</v>
      </c>
      <c r="C30" s="18">
        <v>0</v>
      </c>
      <c r="D30" s="113">
        <f t="shared" si="0"/>
        <v>-300000</v>
      </c>
      <c r="E30" s="19" t="s">
        <v>4938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4935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4947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6" t="s">
        <v>4631</v>
      </c>
      <c r="B33" s="216">
        <v>0</v>
      </c>
      <c r="C33" s="216">
        <v>0</v>
      </c>
      <c r="D33" s="216">
        <f t="shared" si="0"/>
        <v>0</v>
      </c>
      <c r="E33" s="216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6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6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4789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4814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4826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4831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4836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4841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4846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4850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4856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4859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4863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4867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4870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4871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4882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4894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4898</v>
      </c>
      <c r="F69" s="96"/>
      <c r="G69" s="96"/>
      <c r="H69" s="96"/>
      <c r="I69" s="96"/>
    </row>
    <row r="70" spans="1:22">
      <c r="D70" s="18">
        <v>-400000</v>
      </c>
      <c r="E70" s="122" t="s">
        <v>4911</v>
      </c>
      <c r="G70" t="s">
        <v>25</v>
      </c>
    </row>
    <row r="71" spans="1:22">
      <c r="D71" s="18">
        <v>463200</v>
      </c>
      <c r="E71" s="122" t="s">
        <v>4913</v>
      </c>
    </row>
    <row r="72" spans="1:22">
      <c r="D72" s="18">
        <v>2000000</v>
      </c>
      <c r="E72" s="96" t="s">
        <v>4916</v>
      </c>
    </row>
    <row r="73" spans="1:22">
      <c r="D73" s="18">
        <v>-280000</v>
      </c>
      <c r="E73" t="s">
        <v>4921</v>
      </c>
    </row>
    <row r="74" spans="1:22">
      <c r="D74" s="18">
        <v>-200000</v>
      </c>
      <c r="E74" s="96" t="s">
        <v>4930</v>
      </c>
    </row>
    <row r="75" spans="1:22">
      <c r="D75" s="18">
        <v>-2000000</v>
      </c>
      <c r="E75" s="96" t="s">
        <v>4936</v>
      </c>
    </row>
    <row r="76" spans="1:22">
      <c r="D76" s="18">
        <v>92800</v>
      </c>
      <c r="E76" s="96" t="s">
        <v>4943</v>
      </c>
    </row>
    <row r="77" spans="1:22">
      <c r="D77" s="18">
        <v>1417727</v>
      </c>
      <c r="E77" s="96" t="s">
        <v>4947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4619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4618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4605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4626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4626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4641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4" t="s">
        <v>1089</v>
      </c>
      <c r="R21" s="244"/>
      <c r="S21" s="244"/>
      <c r="T21" s="244"/>
      <c r="U21" s="96"/>
      <c r="V21" s="96"/>
      <c r="W21" s="96"/>
      <c r="X21" s="96"/>
      <c r="Y21" s="96"/>
      <c r="Z21" s="96"/>
    </row>
    <row r="22" spans="5:35">
      <c r="O22" s="99"/>
      <c r="P22" s="99"/>
      <c r="Q22" s="244"/>
      <c r="R22" s="244"/>
      <c r="S22" s="244"/>
      <c r="T22" s="244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5" t="s">
        <v>1090</v>
      </c>
      <c r="R23" s="246" t="s">
        <v>1091</v>
      </c>
      <c r="S23" s="245" t="s">
        <v>1092</v>
      </c>
      <c r="T23" s="247" t="s">
        <v>1093</v>
      </c>
      <c r="AD23" t="s">
        <v>25</v>
      </c>
    </row>
    <row r="24" spans="5:35">
      <c r="O24" s="99"/>
      <c r="P24" s="99"/>
      <c r="Q24" s="245"/>
      <c r="R24" s="246"/>
      <c r="S24" s="245"/>
      <c r="T24" s="247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4839</v>
      </c>
      <c r="B5" t="s">
        <v>4857</v>
      </c>
    </row>
    <row r="6" spans="1:3">
      <c r="A6" t="s">
        <v>4849</v>
      </c>
      <c r="B6" t="s">
        <v>4858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29" sqref="H29:I29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4764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4755</v>
      </c>
      <c r="B2" s="95">
        <v>10300</v>
      </c>
      <c r="C2" s="95">
        <v>0</v>
      </c>
      <c r="D2" s="99" t="s">
        <v>4765</v>
      </c>
      <c r="E2" s="96"/>
      <c r="F2" s="96"/>
      <c r="G2" s="96"/>
    </row>
    <row r="3" spans="1:7">
      <c r="A3" s="99" t="s">
        <v>4755</v>
      </c>
      <c r="B3" s="95">
        <v>0</v>
      </c>
      <c r="C3" s="95">
        <v>5500</v>
      </c>
      <c r="D3" s="99" t="s">
        <v>4766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4778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4794</v>
      </c>
      <c r="B6" s="95">
        <v>0</v>
      </c>
      <c r="C6" s="95">
        <v>3000</v>
      </c>
      <c r="D6" s="99" t="s">
        <v>4798</v>
      </c>
      <c r="E6" s="96"/>
      <c r="F6" s="96"/>
      <c r="G6" s="96"/>
    </row>
    <row r="7" spans="1:7">
      <c r="A7" s="99" t="s">
        <v>4794</v>
      </c>
      <c r="B7" s="95">
        <v>9200</v>
      </c>
      <c r="C7" s="95">
        <v>0</v>
      </c>
      <c r="D7" s="99" t="s">
        <v>4765</v>
      </c>
      <c r="E7" s="96"/>
      <c r="F7" s="96"/>
      <c r="G7" s="96"/>
    </row>
    <row r="8" spans="1:7">
      <c r="A8" s="99" t="s">
        <v>4796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4806</v>
      </c>
      <c r="B10" s="95">
        <v>10200</v>
      </c>
      <c r="C10" s="95">
        <v>0</v>
      </c>
      <c r="D10" s="99" t="s">
        <v>4765</v>
      </c>
      <c r="E10" s="96"/>
      <c r="F10" s="96"/>
      <c r="G10" s="96"/>
    </row>
    <row r="11" spans="1:7">
      <c r="A11" s="99" t="s">
        <v>4828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4848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4849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4884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4864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4765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4889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4893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4896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4905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4905</v>
      </c>
      <c r="B22" s="95">
        <v>9600</v>
      </c>
      <c r="C22" s="95">
        <v>0</v>
      </c>
      <c r="D22" s="99" t="s">
        <v>4765</v>
      </c>
      <c r="E22" s="96"/>
      <c r="F22" s="96"/>
      <c r="G22" s="96"/>
      <c r="I22" t="s">
        <v>25</v>
      </c>
    </row>
    <row r="23" spans="1:9">
      <c r="A23" s="99" t="s">
        <v>4915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4924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4935</v>
      </c>
      <c r="B25" s="95">
        <v>0</v>
      </c>
      <c r="C25" s="95">
        <v>1000</v>
      </c>
      <c r="D25" s="99" t="s">
        <v>315</v>
      </c>
    </row>
    <row r="26" spans="1:9">
      <c r="A26" s="99"/>
      <c r="B26" s="95"/>
      <c r="C26" s="95"/>
      <c r="D26" s="99"/>
    </row>
    <row r="27" spans="1:9">
      <c r="A27" s="99"/>
      <c r="B27" s="95"/>
      <c r="C27" s="95"/>
      <c r="D27" s="99"/>
    </row>
    <row r="28" spans="1:9">
      <c r="A28" s="99"/>
      <c r="B28" s="95"/>
      <c r="C28" s="95"/>
      <c r="D28" s="99"/>
    </row>
    <row r="29" spans="1:9">
      <c r="A29" s="99"/>
      <c r="B29" s="95"/>
      <c r="C29" s="95"/>
      <c r="D29" s="99"/>
    </row>
    <row r="30" spans="1:9">
      <c r="A30" s="99"/>
      <c r="B30" s="95"/>
      <c r="C30" s="95"/>
      <c r="D30" s="99"/>
    </row>
    <row r="31" spans="1:9">
      <c r="A31" s="99"/>
      <c r="B31" s="95"/>
      <c r="C31" s="95"/>
      <c r="D31" s="99"/>
    </row>
    <row r="32" spans="1:9">
      <c r="A32" s="99"/>
      <c r="B32" s="95"/>
      <c r="C32" s="95"/>
      <c r="D32" s="99"/>
    </row>
    <row r="33" spans="1:4">
      <c r="A33" s="99"/>
      <c r="B33" s="95"/>
      <c r="C33" s="95"/>
      <c r="D33" s="99"/>
    </row>
    <row r="34" spans="1:4">
      <c r="A34" s="99"/>
      <c r="B34" s="95"/>
      <c r="C34" s="95"/>
      <c r="D34" s="99"/>
    </row>
    <row r="35" spans="1:4">
      <c r="A35" s="99"/>
      <c r="B35" s="99"/>
      <c r="C35" s="99"/>
      <c r="D35" s="99"/>
    </row>
    <row r="36" spans="1:4">
      <c r="A36" s="99"/>
      <c r="B36" s="99"/>
      <c r="C36" s="99"/>
      <c r="D36" s="99"/>
    </row>
    <row r="37" spans="1:4">
      <c r="A37" s="99" t="s">
        <v>6</v>
      </c>
      <c r="B37" s="95">
        <f>SUM(B2:B36)</f>
        <v>49500</v>
      </c>
      <c r="C37" s="95">
        <f>SUM(C2:C36)</f>
        <v>26000</v>
      </c>
      <c r="D37" s="99"/>
    </row>
    <row r="39" spans="1:4">
      <c r="A39" s="23" t="s">
        <v>4796</v>
      </c>
      <c r="B39" s="227">
        <v>6700</v>
      </c>
      <c r="C39" s="227">
        <v>0</v>
      </c>
      <c r="D39" s="23" t="s">
        <v>4799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3" activePane="bottomLeft" state="frozen"/>
      <selection pane="bottomLeft" activeCell="D194" sqref="D194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4795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4949</v>
      </c>
      <c r="B193" s="38">
        <v>-25000</v>
      </c>
      <c r="C193" s="11" t="s">
        <v>4960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7"/>
  <sheetViews>
    <sheetView tabSelected="1" topLeftCell="N164" zoomScaleNormal="100" workbookViewId="0">
      <selection activeCell="O129" sqref="O1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6" t="s">
        <v>1077</v>
      </c>
      <c r="AR5" s="216" t="s">
        <v>267</v>
      </c>
      <c r="AS5" s="216" t="s">
        <v>180</v>
      </c>
      <c r="AT5" s="216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6">
        <v>1</v>
      </c>
      <c r="AR6" s="169">
        <v>5000000</v>
      </c>
      <c r="AS6" s="216" t="s">
        <v>4150</v>
      </c>
      <c r="AT6" s="216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6">
        <v>2</v>
      </c>
      <c r="AR7" s="169">
        <v>13000000</v>
      </c>
      <c r="AS7" s="216" t="s">
        <v>4157</v>
      </c>
      <c r="AT7" s="216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6">
        <v>3</v>
      </c>
      <c r="AR8" s="169">
        <v>-168093</v>
      </c>
      <c r="AS8" s="216" t="s">
        <v>4172</v>
      </c>
      <c r="AT8" s="216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6">
        <v>4</v>
      </c>
      <c r="AR9" s="169">
        <v>-2000000</v>
      </c>
      <c r="AS9" s="216" t="s">
        <v>4342</v>
      </c>
      <c r="AT9" s="216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6">
        <v>5</v>
      </c>
      <c r="AR10" s="169">
        <v>-3000000</v>
      </c>
      <c r="AS10" s="216" t="s">
        <v>4876</v>
      </c>
      <c r="AT10" s="73" t="s">
        <v>4880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6">
        <v>6</v>
      </c>
      <c r="AR11" s="169">
        <v>-1663925</v>
      </c>
      <c r="AS11" s="216" t="s">
        <v>4905</v>
      </c>
      <c r="AT11" s="73" t="s">
        <v>4909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6"/>
      <c r="AR12" s="169" t="s">
        <v>25</v>
      </c>
      <c r="AS12" s="216"/>
      <c r="AT12" s="73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6"/>
      <c r="AR13" s="169"/>
      <c r="AS13" s="216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6"/>
      <c r="AR14" s="169"/>
      <c r="AS14" s="216"/>
      <c r="AT14" s="216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6"/>
      <c r="AR15" s="169"/>
      <c r="AS15" s="216"/>
      <c r="AT15" s="216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6"/>
      <c r="AR16" s="169">
        <f>SUM(AR6:AR14)</f>
        <v>11167982</v>
      </c>
      <c r="AS16" s="216"/>
      <c r="AT16" s="239" t="s">
        <v>4877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6"/>
      <c r="AR17" s="216" t="s">
        <v>6</v>
      </c>
      <c r="AS17" s="216"/>
      <c r="AT17" s="21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1513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S84</f>
        <v>171</v>
      </c>
      <c r="T20" s="168" t="s">
        <v>4309</v>
      </c>
      <c r="U20" s="168">
        <v>192.1</v>
      </c>
      <c r="V20" s="168">
        <f>U20*(1+$N$99+$Q$15*S20/36500)</f>
        <v>219.45082958904109</v>
      </c>
      <c r="W20" s="32">
        <f t="shared" ref="W20:W33" si="6">V20*(1+$W$19/100)</f>
        <v>223.83984618082192</v>
      </c>
      <c r="X20" s="32">
        <f t="shared" ref="X20:X33" si="7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345</v>
      </c>
      <c r="AM20" s="113">
        <f>AJ20*AL20</f>
        <v>6210000000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-N42</f>
        <v>434208586.25071001</v>
      </c>
      <c r="M21" s="168" t="s">
        <v>4301</v>
      </c>
      <c r="N21" s="113">
        <f t="shared" ref="N21:N29" si="8">O21*P21</f>
        <v>14853705.799999999</v>
      </c>
      <c r="O21" s="99">
        <v>82429</v>
      </c>
      <c r="P21" s="186">
        <f>P66</f>
        <v>180.2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>U21*(1+$N$99+$Q$15*S21/36500)</f>
        <v>6403.7996383561649</v>
      </c>
      <c r="W21" s="32">
        <f t="shared" si="6"/>
        <v>6531.8756311232883</v>
      </c>
      <c r="X21" s="32">
        <f t="shared" si="7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344</v>
      </c>
      <c r="AM21" s="113">
        <f t="shared" ref="AM21:AM120" si="10">AJ21*AL21</f>
        <v>860000000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-2591212</v>
      </c>
      <c r="M22" s="168" t="s">
        <v>4391</v>
      </c>
      <c r="N22" s="113">
        <f t="shared" si="8"/>
        <v>92327321.699999988</v>
      </c>
      <c r="O22" s="99">
        <v>25521</v>
      </c>
      <c r="P22" s="186">
        <f>P52</f>
        <v>3617.7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>U22*(1+$N$99+$Q$15*S22/36500)</f>
        <v>6005.6228821917812</v>
      </c>
      <c r="W22" s="32">
        <f t="shared" si="6"/>
        <v>6125.7353398356172</v>
      </c>
      <c r="X22" s="32">
        <f t="shared" si="7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343</v>
      </c>
      <c r="AM22" s="113">
        <f t="shared" si="10"/>
        <v>2744000000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6"/>
      <c r="L23" s="117"/>
      <c r="M23" s="216" t="s">
        <v>4539</v>
      </c>
      <c r="N23" s="113">
        <f t="shared" si="8"/>
        <v>1098357.6000000001</v>
      </c>
      <c r="O23" s="99">
        <v>8808</v>
      </c>
      <c r="P23" s="186">
        <f>P54</f>
        <v>124.7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>U23*(1+$N$99+$Q$15*S23/36500)</f>
        <v>5868.4831561643841</v>
      </c>
      <c r="W23" s="32">
        <f>V23*(1+$W$19/100)</f>
        <v>5985.852819287672</v>
      </c>
      <c r="X23" s="32">
        <f t="shared" si="7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342</v>
      </c>
      <c r="AM23" s="113">
        <f t="shared" si="10"/>
        <v>-27206784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L79</f>
        <v>435059959.25071001</v>
      </c>
      <c r="G24" s="95">
        <f t="shared" si="0"/>
        <v>-154753613.86877137</v>
      </c>
      <c r="H24" s="11"/>
      <c r="I24" s="96"/>
      <c r="J24" s="96"/>
      <c r="K24" s="216"/>
      <c r="L24" s="117"/>
      <c r="M24" s="216" t="s">
        <v>4906</v>
      </c>
      <c r="N24" s="113">
        <f t="shared" si="8"/>
        <v>500499</v>
      </c>
      <c r="O24" s="99">
        <v>1998</v>
      </c>
      <c r="P24" s="186">
        <f>P55</f>
        <v>250.5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>U24*(1+$N$99+$Q$15*S24/36500)</f>
        <v>210.86604273972603</v>
      </c>
      <c r="W24" s="32">
        <f t="shared" si="6"/>
        <v>215.08336359452056</v>
      </c>
      <c r="X24" s="32">
        <f t="shared" si="7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341</v>
      </c>
      <c r="AM24" s="113">
        <f t="shared" si="10"/>
        <v>56435500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216"/>
      <c r="L25" s="117"/>
      <c r="M25" s="216" t="s">
        <v>4410</v>
      </c>
      <c r="N25" s="113">
        <f t="shared" si="8"/>
        <v>94413451.099999994</v>
      </c>
      <c r="O25" s="99">
        <v>154447</v>
      </c>
      <c r="P25" s="186">
        <f>P59</f>
        <v>611.29999999999995</v>
      </c>
      <c r="Q25" s="169">
        <v>1614398</v>
      </c>
      <c r="R25" s="168" t="s">
        <v>4438</v>
      </c>
      <c r="S25" s="168">
        <f>S24-3</f>
        <v>109</v>
      </c>
      <c r="T25" s="19" t="s">
        <v>4509</v>
      </c>
      <c r="U25" s="168">
        <v>184.6</v>
      </c>
      <c r="V25" s="168">
        <f>U25*(1+$N$99+$Q$15*S25/36500)</f>
        <v>202.10311452054796</v>
      </c>
      <c r="W25" s="32">
        <f t="shared" si="6"/>
        <v>206.14517681095893</v>
      </c>
      <c r="X25" s="32">
        <f t="shared" si="7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329</v>
      </c>
      <c r="AM25" s="113">
        <f t="shared" si="10"/>
        <v>-9485177583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216"/>
      <c r="L26" s="117"/>
      <c r="M26" s="216" t="s">
        <v>4538</v>
      </c>
      <c r="N26" s="113">
        <f t="shared" si="8"/>
        <v>89015158.700000003</v>
      </c>
      <c r="O26" s="99">
        <v>20371</v>
      </c>
      <c r="P26" s="186">
        <f>P60</f>
        <v>4369.7</v>
      </c>
      <c r="Q26" s="169">
        <v>133576</v>
      </c>
      <c r="R26" s="168" t="s">
        <v>4516</v>
      </c>
      <c r="S26" s="198">
        <f>S25-22</f>
        <v>87</v>
      </c>
      <c r="T26" s="168" t="s">
        <v>4517</v>
      </c>
      <c r="U26" s="168">
        <v>166.2</v>
      </c>
      <c r="V26" s="168">
        <f>U26*(1+$N$99+$Q$15*S26/36500)</f>
        <v>179.15358246575343</v>
      </c>
      <c r="W26" s="32">
        <f t="shared" si="6"/>
        <v>182.73665411506849</v>
      </c>
      <c r="X26" s="32">
        <f t="shared" si="7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323</v>
      </c>
      <c r="AM26" s="113">
        <f t="shared" si="10"/>
        <v>5975500000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216"/>
      <c r="L27" s="117"/>
      <c r="M27" s="216" t="s">
        <v>4919</v>
      </c>
      <c r="N27" s="113">
        <f t="shared" si="8"/>
        <v>70554.900000000009</v>
      </c>
      <c r="O27" s="99">
        <v>229</v>
      </c>
      <c r="P27" s="186">
        <f>P67</f>
        <v>308.10000000000002</v>
      </c>
      <c r="Q27" s="169">
        <v>220803</v>
      </c>
      <c r="R27" s="168" t="s">
        <v>4231</v>
      </c>
      <c r="S27" s="198">
        <f>S26-1</f>
        <v>86</v>
      </c>
      <c r="T27" s="168" t="s">
        <v>4523</v>
      </c>
      <c r="U27" s="168">
        <v>166</v>
      </c>
      <c r="V27" s="168">
        <f>U27*(1+$N$99+$Q$15*S27/36500)</f>
        <v>178.81065205479453</v>
      </c>
      <c r="W27" s="32">
        <f t="shared" si="6"/>
        <v>182.38686509589041</v>
      </c>
      <c r="X27" s="32">
        <f t="shared" si="7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322</v>
      </c>
      <c r="AM27" s="113">
        <f t="shared" si="10"/>
        <v>-5973100000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216"/>
      <c r="L28" s="117"/>
      <c r="M28" s="216" t="s">
        <v>4941</v>
      </c>
      <c r="N28" s="113">
        <f t="shared" si="8"/>
        <v>58332</v>
      </c>
      <c r="O28" s="99">
        <v>120</v>
      </c>
      <c r="P28" s="186">
        <f>P58</f>
        <v>486.1</v>
      </c>
      <c r="Q28" s="169">
        <v>1023940</v>
      </c>
      <c r="R28" s="168" t="s">
        <v>4524</v>
      </c>
      <c r="S28" s="198">
        <f>S27-2</f>
        <v>84</v>
      </c>
      <c r="T28" s="168" t="s">
        <v>4530</v>
      </c>
      <c r="U28" s="168">
        <v>160.19999999999999</v>
      </c>
      <c r="V28" s="168">
        <f>U28*(1+$N$99+$Q$15*S28/36500)</f>
        <v>172.31726465753425</v>
      </c>
      <c r="W28" s="32">
        <f t="shared" si="6"/>
        <v>175.76360995068495</v>
      </c>
      <c r="X28" s="32">
        <f t="shared" si="7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321</v>
      </c>
      <c r="AM28" s="113">
        <f t="shared" si="10"/>
        <v>-20852481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8" t="s">
        <v>456</v>
      </c>
      <c r="L29" s="117">
        <v>500000</v>
      </c>
      <c r="M29" s="168" t="s">
        <v>4395</v>
      </c>
      <c r="N29" s="113">
        <f t="shared" si="8"/>
        <v>11220446.800000001</v>
      </c>
      <c r="O29" s="99">
        <v>1828</v>
      </c>
      <c r="P29" s="99">
        <f>P57</f>
        <v>6138.1</v>
      </c>
      <c r="Q29" s="169">
        <v>168846</v>
      </c>
      <c r="R29" s="168" t="s">
        <v>3691</v>
      </c>
      <c r="S29" s="198">
        <f>S28-28</f>
        <v>56</v>
      </c>
      <c r="T29" s="168" t="s">
        <v>4624</v>
      </c>
      <c r="U29" s="168">
        <v>172.2</v>
      </c>
      <c r="V29" s="168">
        <f>U29*(1+$N$99+$Q$15*S29/36500)</f>
        <v>181.52616328767124</v>
      </c>
      <c r="W29" s="32">
        <f t="shared" si="6"/>
        <v>185.15668655342466</v>
      </c>
      <c r="X29" s="32">
        <f t="shared" si="7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316</v>
      </c>
      <c r="AM29" s="113">
        <f t="shared" si="10"/>
        <v>2022400000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8"/>
      <c r="L30" s="117"/>
      <c r="M30" s="168"/>
      <c r="N30" s="113"/>
      <c r="O30" s="69" t="s">
        <v>25</v>
      </c>
      <c r="P30" s="99"/>
      <c r="Q30" s="169">
        <v>250962</v>
      </c>
      <c r="R30" s="168" t="s">
        <v>4668</v>
      </c>
      <c r="S30" s="198">
        <f>S29-10</f>
        <v>46</v>
      </c>
      <c r="T30" s="168" t="s">
        <v>4669</v>
      </c>
      <c r="U30" s="168">
        <v>5315.5</v>
      </c>
      <c r="V30" s="168">
        <f>U30*(1+$N$99+$Q$15*S30/36500)</f>
        <v>5562.6052164383564</v>
      </c>
      <c r="W30" s="32">
        <f t="shared" si="6"/>
        <v>5673.8573207671234</v>
      </c>
      <c r="X30" s="32">
        <f t="shared" si="7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315</v>
      </c>
      <c r="AM30" s="113">
        <f t="shared" si="10"/>
        <v>-53550000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/>
      <c r="L31" s="117"/>
      <c r="M31" s="190" t="s">
        <v>4460</v>
      </c>
      <c r="N31" s="113">
        <v>3082</v>
      </c>
      <c r="O31" s="69" t="s">
        <v>25</v>
      </c>
      <c r="P31" s="99" t="s">
        <v>25</v>
      </c>
      <c r="Q31" s="169">
        <v>350718</v>
      </c>
      <c r="R31" s="216" t="s">
        <v>4718</v>
      </c>
      <c r="S31" s="198">
        <f>S30-7</f>
        <v>39</v>
      </c>
      <c r="T31" s="216" t="s">
        <v>4719</v>
      </c>
      <c r="U31" s="216">
        <v>502.3</v>
      </c>
      <c r="V31" s="216">
        <f>U31*(1+$N$99+$Q$15*S31/36500)</f>
        <v>522.95347506849316</v>
      </c>
      <c r="W31" s="32">
        <f t="shared" si="6"/>
        <v>533.41254456986303</v>
      </c>
      <c r="X31" s="32">
        <f t="shared" si="7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310</v>
      </c>
      <c r="AM31" s="113">
        <f t="shared" si="10"/>
        <v>-1953000000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/>
      <c r="L32" s="117"/>
      <c r="M32" s="190" t="s">
        <v>4395</v>
      </c>
      <c r="N32" s="113">
        <f t="shared" ref="N32:N39" si="12">O32*P32</f>
        <v>288490.7</v>
      </c>
      <c r="O32" s="69">
        <v>47</v>
      </c>
      <c r="P32" s="99">
        <f>P57</f>
        <v>6138.1</v>
      </c>
      <c r="Q32" s="169">
        <v>17953742</v>
      </c>
      <c r="R32" s="216" t="s">
        <v>3684</v>
      </c>
      <c r="S32" s="198">
        <f>S31-15</f>
        <v>24</v>
      </c>
      <c r="T32" s="216" t="s">
        <v>4767</v>
      </c>
      <c r="U32" s="216">
        <v>486.4</v>
      </c>
      <c r="V32" s="216">
        <f>U32*(1+$N$99+$Q$15*S32/36500)</f>
        <v>500.80277041095889</v>
      </c>
      <c r="W32" s="32">
        <f t="shared" si="6"/>
        <v>510.81882581917807</v>
      </c>
      <c r="X32" s="32">
        <f t="shared" si="7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309</v>
      </c>
      <c r="AM32" s="113">
        <f t="shared" si="10"/>
        <v>-16072635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216"/>
      <c r="L33" s="117"/>
      <c r="M33" s="190" t="s">
        <v>4941</v>
      </c>
      <c r="N33" s="113">
        <f t="shared" si="12"/>
        <v>58332</v>
      </c>
      <c r="O33" s="69">
        <v>120</v>
      </c>
      <c r="P33" s="99">
        <f>P58</f>
        <v>486.1</v>
      </c>
      <c r="Q33" s="169">
        <v>9566181</v>
      </c>
      <c r="R33" s="216" t="s">
        <v>4768</v>
      </c>
      <c r="S33" s="198">
        <f>S32-1</f>
        <v>23</v>
      </c>
      <c r="T33" s="216" t="s">
        <v>4769</v>
      </c>
      <c r="U33" s="216">
        <v>476.1</v>
      </c>
      <c r="V33" s="216">
        <f>U33*(1+$N$99+$Q$15*S33/36500)</f>
        <v>489.83255013698636</v>
      </c>
      <c r="W33" s="32">
        <f t="shared" si="6"/>
        <v>499.62920113972609</v>
      </c>
      <c r="X33" s="32">
        <f t="shared" si="7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293</v>
      </c>
      <c r="AM33" s="113">
        <f t="shared" si="10"/>
        <v>5865098200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216"/>
      <c r="L34" s="117"/>
      <c r="M34" s="190" t="s">
        <v>4391</v>
      </c>
      <c r="N34" s="113">
        <f t="shared" si="12"/>
        <v>502860.3</v>
      </c>
      <c r="O34" s="69">
        <v>139</v>
      </c>
      <c r="P34" s="99">
        <f>P52</f>
        <v>3617.7</v>
      </c>
      <c r="Q34" s="169">
        <v>10881161</v>
      </c>
      <c r="R34" s="216" t="s">
        <v>4768</v>
      </c>
      <c r="S34" s="198">
        <f>S33</f>
        <v>23</v>
      </c>
      <c r="T34" s="216" t="s">
        <v>4770</v>
      </c>
      <c r="U34" s="216">
        <v>3095</v>
      </c>
      <c r="V34" s="216">
        <f>U34*(1+$N$99+$Q$15*S34/36500)</f>
        <v>3184.271671232877</v>
      </c>
      <c r="W34" s="32">
        <f t="shared" ref="W34:W55" si="13">V34*(1+$W$19/100)</f>
        <v>3247.9571046575347</v>
      </c>
      <c r="X34" s="32">
        <f t="shared" ref="X34:X55" si="14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293</v>
      </c>
      <c r="AM34" s="113">
        <f t="shared" si="10"/>
        <v>297238538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216"/>
      <c r="L35" s="117"/>
      <c r="M35" s="190" t="s">
        <v>4906</v>
      </c>
      <c r="N35" s="113">
        <f t="shared" si="12"/>
        <v>500499</v>
      </c>
      <c r="O35" s="69">
        <v>1998</v>
      </c>
      <c r="P35" s="99">
        <f>P55</f>
        <v>250.5</v>
      </c>
      <c r="Q35" s="169">
        <v>1563192</v>
      </c>
      <c r="R35" s="216" t="s">
        <v>4768</v>
      </c>
      <c r="S35" s="198">
        <f>S34</f>
        <v>23</v>
      </c>
      <c r="T35" s="216" t="s">
        <v>4771</v>
      </c>
      <c r="U35" s="216">
        <v>168.8</v>
      </c>
      <c r="V35" s="216">
        <f>U35*(1+$N$99+$Q$15*S35/36500)</f>
        <v>173.66883945205481</v>
      </c>
      <c r="W35" s="32">
        <f t="shared" si="13"/>
        <v>177.14221624109592</v>
      </c>
      <c r="X35" s="32">
        <f t="shared" si="14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281</v>
      </c>
      <c r="AM35" s="113">
        <f t="shared" si="10"/>
        <v>101160000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216"/>
      <c r="L36" s="117"/>
      <c r="M36" s="190" t="s">
        <v>4410</v>
      </c>
      <c r="N36" s="113">
        <f t="shared" si="12"/>
        <v>426687.39999999997</v>
      </c>
      <c r="O36" s="69">
        <v>698</v>
      </c>
      <c r="P36" s="99">
        <f>P59</f>
        <v>611.29999999999995</v>
      </c>
      <c r="Q36" s="169">
        <v>5021554</v>
      </c>
      <c r="R36" s="216" t="s">
        <v>4768</v>
      </c>
      <c r="S36" s="198">
        <f>S35</f>
        <v>23</v>
      </c>
      <c r="T36" s="216" t="s">
        <v>4772</v>
      </c>
      <c r="U36" s="216">
        <v>3859.8</v>
      </c>
      <c r="V36" s="216">
        <f>U36*(1+$N$99+$Q$15*S36/36500)</f>
        <v>3971.1314367123291</v>
      </c>
      <c r="W36" s="32">
        <f t="shared" si="13"/>
        <v>4050.5540654465758</v>
      </c>
      <c r="X36" s="32">
        <f t="shared" si="14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279</v>
      </c>
      <c r="AM36" s="113">
        <f t="shared" si="10"/>
        <v>-97650000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216"/>
      <c r="L37" s="117"/>
      <c r="M37" s="190" t="s">
        <v>4538</v>
      </c>
      <c r="N37" s="113">
        <f t="shared" si="12"/>
        <v>100503.09999999999</v>
      </c>
      <c r="O37" s="69">
        <v>23</v>
      </c>
      <c r="P37" s="99">
        <f>P60</f>
        <v>4369.7</v>
      </c>
      <c r="Q37" s="169">
        <v>10206388</v>
      </c>
      <c r="R37" s="216" t="s">
        <v>4778</v>
      </c>
      <c r="S37" s="198">
        <f>S36-1</f>
        <v>22</v>
      </c>
      <c r="T37" s="216" t="s">
        <v>4781</v>
      </c>
      <c r="U37" s="216">
        <v>3099.2</v>
      </c>
      <c r="V37" s="216">
        <f>U37*(1+$N$99+$Q$15*S37/36500)</f>
        <v>3186.2153468493152</v>
      </c>
      <c r="W37" s="32">
        <f t="shared" si="13"/>
        <v>3249.9396537863017</v>
      </c>
      <c r="X37" s="32">
        <f t="shared" si="14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279</v>
      </c>
      <c r="AM37" s="113">
        <f t="shared" si="10"/>
        <v>279000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216"/>
      <c r="L38" s="117"/>
      <c r="M38" s="190" t="s">
        <v>4919</v>
      </c>
      <c r="N38" s="113">
        <f t="shared" si="12"/>
        <v>70554.900000000009</v>
      </c>
      <c r="O38" s="69">
        <v>229</v>
      </c>
      <c r="P38" s="99">
        <f>P67</f>
        <v>308.10000000000002</v>
      </c>
      <c r="Q38" s="169">
        <v>13402013</v>
      </c>
      <c r="R38" s="216" t="s">
        <v>4778</v>
      </c>
      <c r="S38" s="198">
        <f>S37</f>
        <v>22</v>
      </c>
      <c r="T38" s="216" t="s">
        <v>4782</v>
      </c>
      <c r="U38" s="216">
        <v>3853.3</v>
      </c>
      <c r="V38" s="216">
        <f>U38*(1+$N$99+$Q$15*S38/36500)</f>
        <v>3961.4879956164391</v>
      </c>
      <c r="W38" s="32">
        <f t="shared" si="13"/>
        <v>4040.7177555287681</v>
      </c>
      <c r="X38" s="32">
        <f t="shared" si="14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278</v>
      </c>
      <c r="AM38" s="113">
        <f t="shared" si="10"/>
        <v>9343580000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168"/>
      <c r="L39" s="117"/>
      <c r="M39" s="190" t="s">
        <v>4439</v>
      </c>
      <c r="N39" s="113">
        <f t="shared" si="12"/>
        <v>3123767</v>
      </c>
      <c r="O39" s="69">
        <v>17335</v>
      </c>
      <c r="P39" s="99">
        <f>P66</f>
        <v>180.2</v>
      </c>
      <c r="Q39" s="169">
        <v>138358</v>
      </c>
      <c r="R39" s="216" t="s">
        <v>4787</v>
      </c>
      <c r="S39" s="198">
        <f>S38-1</f>
        <v>21</v>
      </c>
      <c r="T39" s="216" t="s">
        <v>4788</v>
      </c>
      <c r="U39" s="216">
        <v>3130</v>
      </c>
      <c r="V39" s="216">
        <f>U39*(1+$N$99+$Q$15*S39/36500)</f>
        <v>3215.4790136986303</v>
      </c>
      <c r="W39" s="32">
        <f t="shared" si="13"/>
        <v>3279.7885939726029</v>
      </c>
      <c r="X39" s="32">
        <f t="shared" si="14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274</v>
      </c>
      <c r="AM39" s="113">
        <f t="shared" si="10"/>
        <v>-4274400000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168" t="s">
        <v>25</v>
      </c>
      <c r="L40" s="117"/>
      <c r="M40" s="168"/>
      <c r="N40" s="113"/>
      <c r="P40" t="s">
        <v>25</v>
      </c>
      <c r="Q40" s="169">
        <v>3377001</v>
      </c>
      <c r="R40" s="216" t="s">
        <v>4796</v>
      </c>
      <c r="S40" s="198">
        <f>S39-4</f>
        <v>17</v>
      </c>
      <c r="T40" s="216" t="s">
        <v>4802</v>
      </c>
      <c r="U40" s="216">
        <v>3324.8</v>
      </c>
      <c r="V40" s="216">
        <f>U40*(1+$N$99+$Q$15*S40/36500)</f>
        <v>3405.3967956164392</v>
      </c>
      <c r="W40" s="32">
        <f t="shared" si="13"/>
        <v>3473.5047315287679</v>
      </c>
      <c r="X40" s="32">
        <f t="shared" si="14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271</v>
      </c>
      <c r="AM40" s="113">
        <f t="shared" si="10"/>
        <v>2032500000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168" t="s">
        <v>25</v>
      </c>
      <c r="L41" s="117"/>
      <c r="M41" s="168" t="s">
        <v>756</v>
      </c>
      <c r="N41" s="113">
        <v>3000000</v>
      </c>
      <c r="O41" t="s">
        <v>25</v>
      </c>
      <c r="P41" t="s">
        <v>25</v>
      </c>
      <c r="Q41" s="169">
        <v>63610880</v>
      </c>
      <c r="R41" s="216" t="s">
        <v>4796</v>
      </c>
      <c r="S41" s="198">
        <f>S40</f>
        <v>17</v>
      </c>
      <c r="T41" s="216" t="s">
        <v>4800</v>
      </c>
      <c r="U41" s="216">
        <v>4176.3</v>
      </c>
      <c r="V41" s="216">
        <f>U41*(1+$N$99+$Q$15*S41/36500)</f>
        <v>4277.5380887671245</v>
      </c>
      <c r="W41" s="32">
        <f t="shared" si="13"/>
        <v>4363.0888505424673</v>
      </c>
      <c r="X41" s="32">
        <f t="shared" si="14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267</v>
      </c>
      <c r="AM41" s="113">
        <f t="shared" si="10"/>
        <v>-26166000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168" t="s">
        <v>918</v>
      </c>
      <c r="L42" s="117">
        <v>4800000</v>
      </c>
      <c r="M42" s="168" t="s">
        <v>4149</v>
      </c>
      <c r="N42" s="113">
        <f>-S168</f>
        <v>-434208586.25071001</v>
      </c>
      <c r="O42" s="96" t="s">
        <v>25</v>
      </c>
      <c r="P42" s="96" t="s">
        <v>25</v>
      </c>
      <c r="Q42" s="169">
        <v>15499033</v>
      </c>
      <c r="R42" s="216" t="s">
        <v>4796</v>
      </c>
      <c r="S42" s="198">
        <f>S41</f>
        <v>17</v>
      </c>
      <c r="T42" s="216" t="s">
        <v>4801</v>
      </c>
      <c r="U42" s="216">
        <v>525.1</v>
      </c>
      <c r="V42" s="216">
        <f>U42*(1+$N$99+$Q$15*S42/36500)</f>
        <v>537.82899945205486</v>
      </c>
      <c r="W42" s="32">
        <f t="shared" si="13"/>
        <v>548.585579441096</v>
      </c>
      <c r="X42" s="32">
        <f t="shared" si="14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266</v>
      </c>
      <c r="AM42" s="113">
        <f t="shared" si="10"/>
        <v>-6916000000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168"/>
      <c r="L43" s="117"/>
      <c r="M43" s="168" t="s">
        <v>753</v>
      </c>
      <c r="N43" s="113">
        <v>500000</v>
      </c>
      <c r="O43" s="96" t="s">
        <v>25</v>
      </c>
      <c r="P43" s="122" t="s">
        <v>25</v>
      </c>
      <c r="Q43" s="169">
        <v>30673673</v>
      </c>
      <c r="R43" s="216" t="s">
        <v>4806</v>
      </c>
      <c r="S43" s="198">
        <f>S42-1</f>
        <v>16</v>
      </c>
      <c r="T43" s="216" t="s">
        <v>4811</v>
      </c>
      <c r="U43" s="216">
        <v>529.79999999999995</v>
      </c>
      <c r="V43" s="216">
        <f>U43*(1+$N$99+$Q$15*S43/36500)</f>
        <v>542.23651068493143</v>
      </c>
      <c r="W43" s="32">
        <f t="shared" si="13"/>
        <v>553.08124089863009</v>
      </c>
      <c r="X43" s="32">
        <f t="shared" si="14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266</v>
      </c>
      <c r="AM43" s="113">
        <f t="shared" si="10"/>
        <v>6650000000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168" t="s">
        <v>1086</v>
      </c>
      <c r="L44" s="117">
        <f>'خرید و فروش سکه فیزیکی'!M48*10*P68</f>
        <v>44190000</v>
      </c>
      <c r="M44" s="168" t="s">
        <v>760</v>
      </c>
      <c r="N44" s="113">
        <v>1200000</v>
      </c>
      <c r="O44" t="s">
        <v>25</v>
      </c>
      <c r="P44" t="s">
        <v>25</v>
      </c>
      <c r="Q44" s="169">
        <v>5420397</v>
      </c>
      <c r="R44" s="216" t="s">
        <v>4806</v>
      </c>
      <c r="S44" s="198">
        <f>S43</f>
        <v>16</v>
      </c>
      <c r="T44" s="216" t="s">
        <v>4812</v>
      </c>
      <c r="U44" s="216">
        <v>5395.9</v>
      </c>
      <c r="V44" s="216">
        <f>U44*(1+$N$99+$Q$15*S44/36500)</f>
        <v>5522.5632087671229</v>
      </c>
      <c r="W44" s="32">
        <f t="shared" si="13"/>
        <v>5633.0144729424655</v>
      </c>
      <c r="X44" s="32">
        <f t="shared" si="14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265</v>
      </c>
      <c r="AM44" s="113">
        <f t="shared" si="10"/>
        <v>29150000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168" t="s">
        <v>4833</v>
      </c>
      <c r="L45" s="117">
        <v>-47500000</v>
      </c>
      <c r="M45" s="73"/>
      <c r="N45" s="113"/>
      <c r="O45" s="96" t="s">
        <v>25</v>
      </c>
      <c r="P45" s="96" t="s">
        <v>25</v>
      </c>
      <c r="Q45" s="169">
        <v>38533873</v>
      </c>
      <c r="R45" s="216" t="s">
        <v>4806</v>
      </c>
      <c r="S45" s="198">
        <f>S44</f>
        <v>16</v>
      </c>
      <c r="T45" s="216" t="s">
        <v>4813</v>
      </c>
      <c r="U45" s="216">
        <v>3355.8</v>
      </c>
      <c r="V45" s="216">
        <f>U45*(1+$N$99+$Q$15*S45/36500)</f>
        <v>3434.5739572602743</v>
      </c>
      <c r="W45" s="32">
        <f t="shared" si="13"/>
        <v>3503.2654364054797</v>
      </c>
      <c r="X45" s="32">
        <f t="shared" si="14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264</v>
      </c>
      <c r="AM45" s="113">
        <f t="shared" si="10"/>
        <v>100320000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168"/>
      <c r="L46" s="117"/>
      <c r="M46" s="168" t="s">
        <v>1086</v>
      </c>
      <c r="N46" s="113">
        <f>('خرید و فروش سکه فیزیکی'!M47+3)*10*P68</f>
        <v>34370000</v>
      </c>
      <c r="O46" s="96"/>
      <c r="P46" s="96" t="s">
        <v>25</v>
      </c>
      <c r="Q46" s="169">
        <v>441599</v>
      </c>
      <c r="R46" s="216" t="s">
        <v>4905</v>
      </c>
      <c r="S46" s="198">
        <f>S45-16</f>
        <v>0</v>
      </c>
      <c r="T46" s="216" t="s">
        <v>4908</v>
      </c>
      <c r="U46" s="216">
        <v>220</v>
      </c>
      <c r="V46" s="216">
        <f>U46*(1+$N$99+$Q$15*S46/36500)</f>
        <v>222.46400000000003</v>
      </c>
      <c r="W46" s="32">
        <f t="shared" si="13"/>
        <v>226.91328000000004</v>
      </c>
      <c r="X46" s="32">
        <f t="shared" si="14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257</v>
      </c>
      <c r="AM46" s="113">
        <f t="shared" si="10"/>
        <v>115650000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168"/>
      <c r="L47" s="117"/>
      <c r="M47" s="168" t="s">
        <v>4832</v>
      </c>
      <c r="N47" s="113">
        <v>-18000000</v>
      </c>
      <c r="O47" s="96"/>
      <c r="P47" s="114"/>
      <c r="Q47" s="169">
        <v>1018599</v>
      </c>
      <c r="R47" s="216" t="s">
        <v>4915</v>
      </c>
      <c r="S47" s="198">
        <f>S46-3</f>
        <v>-3</v>
      </c>
      <c r="T47" s="216" t="s">
        <v>4917</v>
      </c>
      <c r="U47" s="216">
        <v>4155.3</v>
      </c>
      <c r="V47" s="216">
        <f>U47*(1+$N$99+$Q$15*S47/36500)</f>
        <v>4192.2764778082201</v>
      </c>
      <c r="W47" s="32">
        <f t="shared" si="13"/>
        <v>4276.1220073643844</v>
      </c>
      <c r="X47" s="32">
        <f t="shared" si="14"/>
        <v>4359.9675369205488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251</v>
      </c>
      <c r="AM47" s="113">
        <f t="shared" si="10"/>
        <v>702800000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168"/>
      <c r="L48" s="117"/>
      <c r="M48" s="168" t="s">
        <v>4834</v>
      </c>
      <c r="N48" s="113">
        <v>-47000000</v>
      </c>
      <c r="O48" s="96"/>
      <c r="P48" s="96" t="s">
        <v>25</v>
      </c>
      <c r="Q48" s="169">
        <v>1001132</v>
      </c>
      <c r="R48" s="216" t="s">
        <v>4915</v>
      </c>
      <c r="S48" s="198">
        <f>S47</f>
        <v>-3</v>
      </c>
      <c r="T48" s="216" t="s">
        <v>4918</v>
      </c>
      <c r="U48" s="216">
        <v>113.1</v>
      </c>
      <c r="V48" s="216">
        <f>U48*(1+$N$99+$Q$15*S48/36500)</f>
        <v>114.10643506849316</v>
      </c>
      <c r="W48" s="32">
        <f t="shared" si="13"/>
        <v>116.38856376986303</v>
      </c>
      <c r="X48" s="32">
        <f t="shared" si="14"/>
        <v>118.67069247123288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250</v>
      </c>
      <c r="AM48" s="113">
        <f t="shared" si="10"/>
        <v>-375000000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168"/>
      <c r="N49" s="113"/>
      <c r="O49" s="96" t="s">
        <v>25</v>
      </c>
      <c r="P49" s="96" t="s">
        <v>25</v>
      </c>
      <c r="Q49" s="169">
        <v>62110</v>
      </c>
      <c r="R49" s="216" t="s">
        <v>4915</v>
      </c>
      <c r="S49" s="198">
        <f>S48</f>
        <v>-3</v>
      </c>
      <c r="T49" s="216" t="s">
        <v>4920</v>
      </c>
      <c r="U49" s="216">
        <v>270</v>
      </c>
      <c r="V49" s="216">
        <f>U49*(1+$N$99+$Q$15*S49/36500)</f>
        <v>272.40263013698632</v>
      </c>
      <c r="W49" s="32">
        <f t="shared" si="13"/>
        <v>277.85068273972604</v>
      </c>
      <c r="X49" s="32">
        <f t="shared" si="14"/>
        <v>283.29873534246576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250</v>
      </c>
      <c r="AM49" s="113">
        <f t="shared" si="10"/>
        <v>762500000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4607</v>
      </c>
      <c r="L50" s="117">
        <v>331075</v>
      </c>
      <c r="M50" s="168" t="s">
        <v>4459</v>
      </c>
      <c r="N50" s="113">
        <v>1335</v>
      </c>
      <c r="P50" t="s">
        <v>25</v>
      </c>
      <c r="Q50" s="169">
        <v>5809833</v>
      </c>
      <c r="R50" s="216" t="s">
        <v>4935</v>
      </c>
      <c r="S50" s="198">
        <f>S49-2</f>
        <v>-5</v>
      </c>
      <c r="T50" s="216" t="s">
        <v>4939</v>
      </c>
      <c r="U50" s="216">
        <v>587.29999999999995</v>
      </c>
      <c r="V50" s="216">
        <f>U50*(1+$N$99+$Q$15*S50/36500)</f>
        <v>591.62510246575346</v>
      </c>
      <c r="W50" s="32">
        <f t="shared" si="13"/>
        <v>603.45760451506851</v>
      </c>
      <c r="X50" s="32">
        <f t="shared" si="14"/>
        <v>615.29010656438356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247</v>
      </c>
      <c r="AM50" s="113">
        <f t="shared" si="10"/>
        <v>-2050004164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56"/>
      <c r="L51" s="117"/>
      <c r="M51" s="168"/>
      <c r="N51" s="113"/>
      <c r="O51" s="99"/>
      <c r="P51" s="99"/>
      <c r="Q51" s="169">
        <v>22263826</v>
      </c>
      <c r="R51" s="216" t="s">
        <v>4935</v>
      </c>
      <c r="S51" s="198">
        <f>S50</f>
        <v>-5</v>
      </c>
      <c r="T51" s="216" t="s">
        <v>4940</v>
      </c>
      <c r="U51" s="216">
        <v>3560</v>
      </c>
      <c r="V51" s="216">
        <f>U51*(1+$N$99+$Q$15*S51/36500)</f>
        <v>3586.2172054794523</v>
      </c>
      <c r="W51" s="32">
        <f t="shared" si="13"/>
        <v>3657.9415495890416</v>
      </c>
      <c r="X51" s="32">
        <f t="shared" si="14"/>
        <v>3729.6658936986305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245</v>
      </c>
      <c r="AM51" s="113">
        <f t="shared" si="10"/>
        <v>1225000000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56"/>
      <c r="L52" s="117"/>
      <c r="M52" s="207" t="s">
        <v>4391</v>
      </c>
      <c r="N52" s="113">
        <f>O52*P52</f>
        <v>99349277.399999991</v>
      </c>
      <c r="O52" s="99">
        <v>27462</v>
      </c>
      <c r="P52" s="99">
        <v>3617.7</v>
      </c>
      <c r="Q52" s="169">
        <v>48217</v>
      </c>
      <c r="R52" s="216" t="s">
        <v>4935</v>
      </c>
      <c r="S52" s="198">
        <f>S51</f>
        <v>-5</v>
      </c>
      <c r="T52" s="216" t="s">
        <v>4942</v>
      </c>
      <c r="U52" s="216">
        <v>400</v>
      </c>
      <c r="V52" s="216">
        <f>U52*(1+$N$99+$Q$15*S52/36500)</f>
        <v>402.9457534246576</v>
      </c>
      <c r="W52" s="32">
        <f t="shared" si="13"/>
        <v>411.00466849315075</v>
      </c>
      <c r="X52" s="32">
        <f t="shared" si="14"/>
        <v>419.0635835616439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231</v>
      </c>
      <c r="AM52" s="113">
        <f t="shared" si="10"/>
        <v>-20790000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4583</v>
      </c>
      <c r="N53" s="117">
        <f t="shared" ref="N53:N68" si="15">O53*P53</f>
        <v>782800</v>
      </c>
      <c r="O53" s="69">
        <v>2000</v>
      </c>
      <c r="P53" s="69">
        <v>391.4</v>
      </c>
      <c r="Q53" s="169">
        <v>112288</v>
      </c>
      <c r="R53" s="216" t="s">
        <v>981</v>
      </c>
      <c r="S53" s="198">
        <f>S52-1</f>
        <v>-6</v>
      </c>
      <c r="T53" s="216" t="s">
        <v>4944</v>
      </c>
      <c r="U53" s="216">
        <v>3605.5</v>
      </c>
      <c r="V53" s="216">
        <f>U53*(1+$N$99+$Q$15*S53/36500)</f>
        <v>3629.2864219178091</v>
      </c>
      <c r="W53" s="32">
        <f t="shared" si="13"/>
        <v>3701.8721503561655</v>
      </c>
      <c r="X53" s="32">
        <f t="shared" si="14"/>
        <v>3774.4578787945215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230</v>
      </c>
      <c r="AM53" s="113">
        <f t="shared" si="10"/>
        <v>1288000000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/>
      <c r="L54" s="117"/>
      <c r="M54" s="21" t="s">
        <v>4539</v>
      </c>
      <c r="N54" s="117">
        <f t="shared" si="15"/>
        <v>110733.6</v>
      </c>
      <c r="O54" s="69">
        <v>888</v>
      </c>
      <c r="P54" s="69">
        <v>124.7</v>
      </c>
      <c r="Q54" s="169">
        <v>931614</v>
      </c>
      <c r="R54" s="216" t="s">
        <v>4951</v>
      </c>
      <c r="S54" s="198">
        <f>S53-8</f>
        <v>-14</v>
      </c>
      <c r="T54" s="216" t="s">
        <v>4953</v>
      </c>
      <c r="U54" s="216">
        <v>4437</v>
      </c>
      <c r="V54" s="216">
        <f>U54*(1+$N$99+$Q$15*S54/36500)</f>
        <v>4439.0422356164381</v>
      </c>
      <c r="W54" s="32">
        <f t="shared" si="13"/>
        <v>4527.823080328767</v>
      </c>
      <c r="X54" s="32">
        <f t="shared" si="14"/>
        <v>4616.6039250410959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226</v>
      </c>
      <c r="AM54" s="113">
        <f t="shared" si="10"/>
        <v>169500000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21" t="s">
        <v>4907</v>
      </c>
      <c r="N55" s="117">
        <f t="shared" si="15"/>
        <v>500499</v>
      </c>
      <c r="O55" s="69">
        <v>1998</v>
      </c>
      <c r="P55" s="69">
        <v>250.5</v>
      </c>
      <c r="Q55" s="169"/>
      <c r="R55" s="168"/>
      <c r="S55" s="168"/>
      <c r="T55" s="168"/>
      <c r="U55" s="168"/>
      <c r="V55" s="216">
        <f>U55*(1+$N$99+$Q$15*S55/36500)</f>
        <v>0</v>
      </c>
      <c r="W55" s="32">
        <f t="shared" si="13"/>
        <v>0</v>
      </c>
      <c r="X55" s="32">
        <f t="shared" si="14"/>
        <v>0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224</v>
      </c>
      <c r="AM55" s="170">
        <f t="shared" si="10"/>
        <v>-950208000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4569</v>
      </c>
      <c r="N56" s="117">
        <f t="shared" si="15"/>
        <v>1128500</v>
      </c>
      <c r="O56" s="69">
        <v>1000</v>
      </c>
      <c r="P56" s="69">
        <v>1128.5</v>
      </c>
      <c r="Q56" s="169">
        <f>SUM(N21:N29)-SUM(Q20:Q55)</f>
        <v>27357456.599999964</v>
      </c>
      <c r="R56" s="168"/>
      <c r="S56" s="168" t="s">
        <v>25</v>
      </c>
      <c r="T56" s="168"/>
      <c r="U56" s="168"/>
      <c r="V56" s="168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222</v>
      </c>
      <c r="AM56" s="113">
        <f t="shared" si="10"/>
        <v>910200000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 t="s">
        <v>25</v>
      </c>
      <c r="L57" s="117"/>
      <c r="M57" s="19" t="s">
        <v>4395</v>
      </c>
      <c r="N57" s="113">
        <f t="shared" si="15"/>
        <v>177047356.40000001</v>
      </c>
      <c r="O57" s="69">
        <v>28844</v>
      </c>
      <c r="P57" s="69">
        <v>6138.1</v>
      </c>
      <c r="R57" s="115"/>
      <c r="S57" s="115" t="s">
        <v>25</v>
      </c>
      <c r="T57" s="115"/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222</v>
      </c>
      <c r="AM57" s="113">
        <f t="shared" si="10"/>
        <v>910200000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117"/>
      <c r="M58" s="19" t="s">
        <v>4941</v>
      </c>
      <c r="N58" s="113">
        <f t="shared" si="15"/>
        <v>58332</v>
      </c>
      <c r="O58" s="69">
        <v>120</v>
      </c>
      <c r="P58" s="69">
        <v>486.1</v>
      </c>
      <c r="Q58" s="96"/>
      <c r="R58" s="115"/>
      <c r="S58" s="115"/>
      <c r="T58" s="115" t="s">
        <v>25</v>
      </c>
      <c r="U58" s="115"/>
      <c r="V58" s="115"/>
      <c r="W58" s="195"/>
      <c r="X58" s="195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221</v>
      </c>
      <c r="AM58" s="113">
        <f t="shared" si="10"/>
        <v>174590000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19" t="s">
        <v>4410</v>
      </c>
      <c r="N59" s="117">
        <f t="shared" si="15"/>
        <v>65152353.999999993</v>
      </c>
      <c r="O59" s="69">
        <v>106580</v>
      </c>
      <c r="P59" s="69">
        <v>611.29999999999995</v>
      </c>
      <c r="Q59" s="168" t="s">
        <v>657</v>
      </c>
      <c r="R59" s="168"/>
      <c r="S59" s="168"/>
      <c r="T59" s="168"/>
      <c r="U59" s="168"/>
      <c r="V59" s="168"/>
      <c r="W59" s="32"/>
      <c r="X59" s="32"/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206</v>
      </c>
      <c r="AM59" s="172">
        <f t="shared" si="10"/>
        <v>-796190000</v>
      </c>
      <c r="AN59" s="171" t="s">
        <v>4063</v>
      </c>
    </row>
    <row r="60" spans="1:45" ht="3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19" t="s">
        <v>4538</v>
      </c>
      <c r="N60" s="117">
        <f t="shared" si="15"/>
        <v>4832888.2</v>
      </c>
      <c r="O60" s="69">
        <v>1106</v>
      </c>
      <c r="P60" s="69">
        <v>4369.7</v>
      </c>
      <c r="Q60" s="168" t="s">
        <v>267</v>
      </c>
      <c r="R60" s="168" t="s">
        <v>180</v>
      </c>
      <c r="S60" s="168" t="s">
        <v>183</v>
      </c>
      <c r="T60" s="168" t="s">
        <v>8</v>
      </c>
      <c r="U60" s="168" t="s">
        <v>4363</v>
      </c>
      <c r="V60" s="73" t="s">
        <v>4365</v>
      </c>
      <c r="W60" s="32">
        <v>2</v>
      </c>
      <c r="X60" s="32">
        <v>4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200</v>
      </c>
      <c r="AM60" s="113">
        <f t="shared" si="10"/>
        <v>3760000000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 t="s">
        <v>25</v>
      </c>
      <c r="L61" s="117"/>
      <c r="M61" s="21" t="s">
        <v>4537</v>
      </c>
      <c r="N61" s="117">
        <f t="shared" si="15"/>
        <v>15918962.4</v>
      </c>
      <c r="O61" s="69">
        <v>2913</v>
      </c>
      <c r="P61" s="69">
        <v>5464.8</v>
      </c>
      <c r="Q61" s="168">
        <v>0</v>
      </c>
      <c r="R61" s="168" t="s">
        <v>4172</v>
      </c>
      <c r="S61" s="168">
        <f>S84</f>
        <v>171</v>
      </c>
      <c r="T61" s="168"/>
      <c r="U61" s="168"/>
      <c r="V61" s="73"/>
      <c r="W61" s="32"/>
      <c r="X61" s="32"/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197</v>
      </c>
      <c r="AM61" s="113">
        <f t="shared" si="10"/>
        <v>98500000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 t="s">
        <v>25</v>
      </c>
      <c r="L62" s="117"/>
      <c r="M62" s="21" t="s">
        <v>4616</v>
      </c>
      <c r="N62" s="117">
        <f t="shared" si="15"/>
        <v>4311030</v>
      </c>
      <c r="O62" s="69">
        <v>5100</v>
      </c>
      <c r="P62" s="69">
        <v>845.3</v>
      </c>
      <c r="Q62" s="169">
        <v>863944</v>
      </c>
      <c r="R62" s="168" t="s">
        <v>4438</v>
      </c>
      <c r="S62" s="168">
        <f>S61-62</f>
        <v>109</v>
      </c>
      <c r="T62" s="191" t="s">
        <v>4510</v>
      </c>
      <c r="U62" s="168">
        <v>184.6</v>
      </c>
      <c r="V62" s="168">
        <f>U62*(1+$N$99+$Q$15*S62/36500)</f>
        <v>202.10311452054796</v>
      </c>
      <c r="W62" s="32">
        <f t="shared" ref="W62:W75" si="16">V62*(1+$W$19/100)</f>
        <v>206.14517681095893</v>
      </c>
      <c r="X62" s="32">
        <f t="shared" ref="X62:X75" si="17">V62*(1+$X$19/100)</f>
        <v>210.1872391013699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196</v>
      </c>
      <c r="AM62" s="113">
        <f t="shared" si="10"/>
        <v>39200000</v>
      </c>
      <c r="AN62" s="20"/>
    </row>
    <row r="63" spans="1:45">
      <c r="E63" s="26"/>
      <c r="K63" s="99"/>
      <c r="L63" s="117"/>
      <c r="M63" s="21" t="s">
        <v>4296</v>
      </c>
      <c r="N63" s="117">
        <f>O63*P63</f>
        <v>2368484.5</v>
      </c>
      <c r="O63" s="69">
        <v>6997</v>
      </c>
      <c r="P63" s="69">
        <v>338.5</v>
      </c>
      <c r="Q63" s="169">
        <v>1692313</v>
      </c>
      <c r="R63" s="168" t="s">
        <v>4513</v>
      </c>
      <c r="S63" s="198">
        <f>S62-21</f>
        <v>88</v>
      </c>
      <c r="T63" s="190" t="s">
        <v>4514</v>
      </c>
      <c r="U63" s="168">
        <v>168.5</v>
      </c>
      <c r="V63" s="168">
        <f>U63*(1+$N$99+$Q$15*S63/36500)</f>
        <v>181.76210410958907</v>
      </c>
      <c r="W63" s="32">
        <f t="shared" si="16"/>
        <v>185.39734619178085</v>
      </c>
      <c r="X63" s="32">
        <f t="shared" si="17"/>
        <v>189.03258827397264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193</v>
      </c>
      <c r="AM63" s="113">
        <f t="shared" si="10"/>
        <v>193000000</v>
      </c>
      <c r="AN63" s="20"/>
    </row>
    <row r="64" spans="1:45">
      <c r="E64" s="26"/>
      <c r="K64" s="99"/>
      <c r="L64" s="117"/>
      <c r="M64" s="19" t="s">
        <v>4587</v>
      </c>
      <c r="N64" s="113">
        <f t="shared" si="15"/>
        <v>229026</v>
      </c>
      <c r="O64" s="69">
        <v>1148</v>
      </c>
      <c r="P64" s="69">
        <v>199.5</v>
      </c>
      <c r="Q64" s="169">
        <v>101153</v>
      </c>
      <c r="R64" s="168" t="s">
        <v>4516</v>
      </c>
      <c r="S64" s="198">
        <f>S63-1</f>
        <v>87</v>
      </c>
      <c r="T64" s="190" t="s">
        <v>4518</v>
      </c>
      <c r="U64" s="168">
        <v>166.7</v>
      </c>
      <c r="V64" s="168">
        <f>U64*(1+$N$99+$Q$15*S64/36500)</f>
        <v>179.69255232876711</v>
      </c>
      <c r="W64" s="32">
        <f t="shared" si="16"/>
        <v>183.28640337534245</v>
      </c>
      <c r="X64" s="32">
        <f t="shared" si="17"/>
        <v>186.88025442191781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190</v>
      </c>
      <c r="AM64" s="113">
        <f t="shared" si="10"/>
        <v>247000000</v>
      </c>
      <c r="AN64" s="20"/>
    </row>
    <row r="65" spans="1:40">
      <c r="K65" s="99"/>
      <c r="L65" s="117"/>
      <c r="M65" s="21" t="s">
        <v>4633</v>
      </c>
      <c r="N65" s="117">
        <f t="shared" si="15"/>
        <v>1357950</v>
      </c>
      <c r="O65" s="69">
        <v>5500</v>
      </c>
      <c r="P65" s="69">
        <v>246.9</v>
      </c>
      <c r="Q65" s="169">
        <v>183105</v>
      </c>
      <c r="R65" s="168" t="s">
        <v>4231</v>
      </c>
      <c r="S65" s="198">
        <f>S64-1</f>
        <v>86</v>
      </c>
      <c r="T65" s="190" t="s">
        <v>4522</v>
      </c>
      <c r="U65" s="168">
        <v>166.6</v>
      </c>
      <c r="V65" s="168">
        <f>U65*(1+$N$99+$Q$15*S65/36500)</f>
        <v>179.45695561643836</v>
      </c>
      <c r="W65" s="32">
        <f t="shared" si="16"/>
        <v>183.04609472876714</v>
      </c>
      <c r="X65" s="32">
        <f t="shared" si="17"/>
        <v>186.6352338410959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8">AL66+AK65</f>
        <v>190</v>
      </c>
      <c r="AM65" s="113">
        <f t="shared" si="10"/>
        <v>189050000</v>
      </c>
      <c r="AN65" s="20"/>
    </row>
    <row r="66" spans="1:40">
      <c r="K66" s="56"/>
      <c r="L66" s="117"/>
      <c r="M66" s="19" t="s">
        <v>4179</v>
      </c>
      <c r="N66" s="113">
        <f t="shared" si="15"/>
        <v>226419137.59999999</v>
      </c>
      <c r="O66" s="99">
        <v>1256488</v>
      </c>
      <c r="P66" s="99">
        <v>180.2</v>
      </c>
      <c r="Q66" s="169">
        <v>168846</v>
      </c>
      <c r="R66" s="168" t="s">
        <v>3691</v>
      </c>
      <c r="S66" s="198">
        <f>S65-30</f>
        <v>56</v>
      </c>
      <c r="T66" s="190" t="s">
        <v>4624</v>
      </c>
      <c r="U66" s="168">
        <v>172.2</v>
      </c>
      <c r="V66" s="168">
        <f>U66*(1+$N$99+$Q$15*S66/36500)</f>
        <v>181.52616328767124</v>
      </c>
      <c r="W66" s="32">
        <f t="shared" si="16"/>
        <v>185.15668655342466</v>
      </c>
      <c r="X66" s="32">
        <f t="shared" si="17"/>
        <v>188.78720981917809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8"/>
        <v>188</v>
      </c>
      <c r="AM66" s="113">
        <f t="shared" si="10"/>
        <v>2444000000</v>
      </c>
      <c r="AN66" s="20"/>
    </row>
    <row r="67" spans="1:40">
      <c r="A67" t="s">
        <v>25</v>
      </c>
      <c r="F67" t="s">
        <v>310</v>
      </c>
      <c r="G67" t="s">
        <v>4099</v>
      </c>
      <c r="K67" s="56"/>
      <c r="L67" s="117"/>
      <c r="M67" s="19" t="s">
        <v>4919</v>
      </c>
      <c r="N67" s="113">
        <f t="shared" si="15"/>
        <v>70554.900000000009</v>
      </c>
      <c r="O67" s="99">
        <v>229</v>
      </c>
      <c r="P67" s="99">
        <v>308.10000000000002</v>
      </c>
      <c r="Q67" s="169">
        <v>250962</v>
      </c>
      <c r="R67" s="168" t="s">
        <v>4668</v>
      </c>
      <c r="S67" s="198">
        <f>S66-10</f>
        <v>46</v>
      </c>
      <c r="T67" s="190" t="s">
        <v>4669</v>
      </c>
      <c r="U67" s="168">
        <v>5315.5</v>
      </c>
      <c r="V67" s="168">
        <f>U67*(1+$N$99+$Q$15*S67/36500)</f>
        <v>5562.6052164383564</v>
      </c>
      <c r="W67" s="32">
        <f t="shared" si="16"/>
        <v>5673.8573207671234</v>
      </c>
      <c r="X67" s="32">
        <f t="shared" si="17"/>
        <v>5785.1094250958904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8"/>
        <v>186</v>
      </c>
      <c r="AM67" s="113">
        <f t="shared" si="10"/>
        <v>-576600000</v>
      </c>
      <c r="AN67" s="20"/>
    </row>
    <row r="68" spans="1:40">
      <c r="F68" t="s">
        <v>4103</v>
      </c>
      <c r="G68" t="s">
        <v>4098</v>
      </c>
      <c r="K68" s="99"/>
      <c r="L68" s="117"/>
      <c r="M68" s="21" t="s">
        <v>1086</v>
      </c>
      <c r="N68" s="117">
        <f t="shared" si="15"/>
        <v>14730000</v>
      </c>
      <c r="O68" s="69">
        <v>30</v>
      </c>
      <c r="P68" s="69">
        <v>491000</v>
      </c>
      <c r="Q68" s="169">
        <v>352231</v>
      </c>
      <c r="R68" s="216" t="s">
        <v>4718</v>
      </c>
      <c r="S68" s="198">
        <f>S67-7</f>
        <v>39</v>
      </c>
      <c r="T68" s="190" t="s">
        <v>4720</v>
      </c>
      <c r="U68" s="216">
        <v>502.3</v>
      </c>
      <c r="V68" s="216">
        <f>U68*(1+$N$99+$Q$15*S68/36500)</f>
        <v>522.95347506849316</v>
      </c>
      <c r="W68" s="32">
        <f t="shared" si="16"/>
        <v>533.41254456986303</v>
      </c>
      <c r="X68" s="32">
        <f t="shared" si="17"/>
        <v>543.8716140712329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8"/>
        <v>183</v>
      </c>
      <c r="AM68" s="113">
        <f t="shared" si="10"/>
        <v>8352120000</v>
      </c>
      <c r="AN68" s="20"/>
    </row>
    <row r="69" spans="1:40">
      <c r="F69" t="s">
        <v>4104</v>
      </c>
      <c r="G69" t="s">
        <v>4100</v>
      </c>
      <c r="K69" s="99"/>
      <c r="L69" s="117"/>
      <c r="M69" s="73"/>
      <c r="N69" s="117"/>
      <c r="O69" s="122"/>
      <c r="P69" s="122"/>
      <c r="Q69" s="169">
        <v>165067</v>
      </c>
      <c r="R69" s="216" t="s">
        <v>4768</v>
      </c>
      <c r="S69" s="198">
        <f>S68-16</f>
        <v>23</v>
      </c>
      <c r="T69" s="190" t="s">
        <v>4776</v>
      </c>
      <c r="U69" s="216">
        <v>3095.9</v>
      </c>
      <c r="V69" s="216">
        <f>U69*(1+$N$99+$Q$15*S69/36500)</f>
        <v>3185.1976306849319</v>
      </c>
      <c r="W69" s="32">
        <f t="shared" si="16"/>
        <v>3248.9015832986306</v>
      </c>
      <c r="X69" s="32">
        <f t="shared" si="17"/>
        <v>3312.6055359123293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8"/>
        <v>182</v>
      </c>
      <c r="AM69" s="113">
        <f t="shared" si="10"/>
        <v>6097000000</v>
      </c>
      <c r="AN69" s="20"/>
    </row>
    <row r="70" spans="1:40">
      <c r="G70" t="s">
        <v>4101</v>
      </c>
      <c r="K70" s="99"/>
      <c r="L70" s="117"/>
      <c r="M70" s="168" t="s">
        <v>1152</v>
      </c>
      <c r="N70" s="117">
        <v>14908</v>
      </c>
      <c r="O70" s="96" t="s">
        <v>25</v>
      </c>
      <c r="P70" t="s">
        <v>25</v>
      </c>
      <c r="Q70" s="169">
        <v>441599</v>
      </c>
      <c r="R70" s="216" t="s">
        <v>4905</v>
      </c>
      <c r="S70" s="198">
        <f>S69-23</f>
        <v>0</v>
      </c>
      <c r="T70" s="190" t="s">
        <v>4908</v>
      </c>
      <c r="U70" s="216">
        <v>220</v>
      </c>
      <c r="V70" s="216">
        <f>U70*(1+$N$99+$Q$15*S70/36500)</f>
        <v>222.46400000000003</v>
      </c>
      <c r="W70" s="32">
        <f t="shared" si="16"/>
        <v>226.91328000000004</v>
      </c>
      <c r="X70" s="32">
        <f t="shared" si="17"/>
        <v>231.36256000000003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8"/>
        <v>181</v>
      </c>
      <c r="AM70" s="117">
        <f t="shared" si="10"/>
        <v>2172000000</v>
      </c>
      <c r="AN70" s="20"/>
    </row>
    <row r="71" spans="1:40">
      <c r="G71" t="s">
        <v>4102</v>
      </c>
      <c r="K71" s="99"/>
      <c r="L71" s="99"/>
      <c r="M71" s="168" t="s">
        <v>1153</v>
      </c>
      <c r="N71" s="117">
        <v>5282</v>
      </c>
      <c r="O71" s="96"/>
      <c r="P71" t="s">
        <v>25</v>
      </c>
      <c r="Q71" s="169">
        <v>62110</v>
      </c>
      <c r="R71" s="216" t="s">
        <v>4915</v>
      </c>
      <c r="S71" s="198">
        <f>S70-3</f>
        <v>-3</v>
      </c>
      <c r="T71" s="190" t="s">
        <v>4920</v>
      </c>
      <c r="U71" s="216">
        <v>270</v>
      </c>
      <c r="V71" s="216">
        <f>U71*(1+$N$99+$Q$15*S71/36500)</f>
        <v>272.40263013698632</v>
      </c>
      <c r="W71" s="32">
        <f t="shared" si="16"/>
        <v>277.85068273972604</v>
      </c>
      <c r="X71" s="32">
        <f t="shared" si="17"/>
        <v>283.29873534246576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8"/>
        <v>180</v>
      </c>
      <c r="AM71" s="117">
        <f t="shared" si="10"/>
        <v>2790000000</v>
      </c>
      <c r="AN71" s="20"/>
    </row>
    <row r="72" spans="1:40">
      <c r="G72" t="s">
        <v>4106</v>
      </c>
      <c r="K72" s="168"/>
      <c r="L72" s="117"/>
      <c r="M72" s="168"/>
      <c r="N72" s="113"/>
      <c r="O72" s="115"/>
      <c r="P72" s="115"/>
      <c r="Q72" s="169">
        <v>48217</v>
      </c>
      <c r="R72" s="216" t="s">
        <v>4935</v>
      </c>
      <c r="S72" s="198">
        <f>S71-2</f>
        <v>-5</v>
      </c>
      <c r="T72" s="190" t="s">
        <v>4942</v>
      </c>
      <c r="U72" s="216">
        <v>400</v>
      </c>
      <c r="V72" s="216">
        <f>U72*(1+$N$99+$Q$15*S72/36500)</f>
        <v>402.9457534246576</v>
      </c>
      <c r="W72" s="32">
        <f t="shared" si="16"/>
        <v>411.00466849315075</v>
      </c>
      <c r="X72" s="32">
        <f t="shared" si="17"/>
        <v>419.0635835616439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8"/>
        <v>176</v>
      </c>
      <c r="AM72" s="117">
        <f t="shared" si="10"/>
        <v>26400000</v>
      </c>
      <c r="AN72" s="20"/>
    </row>
    <row r="73" spans="1:40">
      <c r="G73" t="s">
        <v>4105</v>
      </c>
      <c r="K73" s="168" t="s">
        <v>25</v>
      </c>
      <c r="L73" s="117"/>
      <c r="M73" s="168" t="s">
        <v>4180</v>
      </c>
      <c r="N73" s="113">
        <f>-O73*P73</f>
        <v>-11993571.399999999</v>
      </c>
      <c r="O73" s="99">
        <v>66557</v>
      </c>
      <c r="P73" s="99">
        <f>P66</f>
        <v>180.2</v>
      </c>
      <c r="Q73" s="169">
        <v>115911</v>
      </c>
      <c r="R73" s="216" t="s">
        <v>981</v>
      </c>
      <c r="S73" s="198">
        <f>S72-1</f>
        <v>-6</v>
      </c>
      <c r="T73" s="190" t="s">
        <v>4945</v>
      </c>
      <c r="U73" s="216">
        <v>3605.5</v>
      </c>
      <c r="V73" s="216">
        <f>U73*(1+$N$99+$Q$15*S73/36500)</f>
        <v>3629.2864219178091</v>
      </c>
      <c r="W73" s="32">
        <f t="shared" si="16"/>
        <v>3701.8721503561655</v>
      </c>
      <c r="X73" s="32">
        <f t="shared" si="17"/>
        <v>3774.4578787945215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8"/>
        <v>175</v>
      </c>
      <c r="AM73" s="180">
        <f t="shared" si="10"/>
        <v>5075000000</v>
      </c>
      <c r="AN73" s="179" t="s">
        <v>4186</v>
      </c>
    </row>
    <row r="74" spans="1:40">
      <c r="K74" s="168"/>
      <c r="L74" s="117"/>
      <c r="M74" s="168"/>
      <c r="N74" s="113"/>
      <c r="Q74" s="169">
        <v>102339</v>
      </c>
      <c r="R74" s="216" t="s">
        <v>4951</v>
      </c>
      <c r="S74" s="198">
        <f>S73-8</f>
        <v>-14</v>
      </c>
      <c r="T74" s="190" t="s">
        <v>4952</v>
      </c>
      <c r="U74" s="216">
        <v>4429</v>
      </c>
      <c r="V74" s="216">
        <f>U74*(1+$N$99+$Q$15*S74/36500)</f>
        <v>4431.0385534246579</v>
      </c>
      <c r="W74" s="32">
        <f t="shared" si="16"/>
        <v>4519.659324493151</v>
      </c>
      <c r="X74" s="32">
        <f t="shared" si="17"/>
        <v>4608.280095561644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8"/>
        <v>160</v>
      </c>
      <c r="AM74" s="117">
        <f t="shared" si="10"/>
        <v>-20800000</v>
      </c>
      <c r="AN74" s="20" t="s">
        <v>4212</v>
      </c>
    </row>
    <row r="75" spans="1:40">
      <c r="K75" s="168"/>
      <c r="L75" s="117"/>
      <c r="M75" s="168"/>
      <c r="N75" s="113"/>
      <c r="Q75" s="169"/>
      <c r="R75" s="168"/>
      <c r="S75" s="113"/>
      <c r="T75" s="113"/>
      <c r="U75" s="168"/>
      <c r="V75" s="168">
        <f>U75*(1+$N$99+$Q$15*S75/36500)</f>
        <v>0</v>
      </c>
      <c r="W75" s="32">
        <f t="shared" si="16"/>
        <v>0</v>
      </c>
      <c r="X75" s="32">
        <f t="shared" si="17"/>
        <v>0</v>
      </c>
      <c r="Y75">
        <v>961521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8"/>
        <v>153</v>
      </c>
      <c r="AM75" s="117">
        <f>AJ75*AL75</f>
        <v>35496000</v>
      </c>
      <c r="AN75" s="20" t="s">
        <v>4260</v>
      </c>
    </row>
    <row r="76" spans="1:40">
      <c r="D76" s="3"/>
      <c r="E76" s="11" t="s">
        <v>304</v>
      </c>
      <c r="K76" s="168"/>
      <c r="L76" s="117"/>
      <c r="M76" s="168" t="s">
        <v>4446</v>
      </c>
      <c r="N76" s="113">
        <f>-S169</f>
        <v>-13683293.684705872</v>
      </c>
      <c r="Q76" s="113">
        <f>SUM(N32:N39)-SUM(Q61:Q75)</f>
        <v>523897.40000000037</v>
      </c>
      <c r="R76" s="168"/>
      <c r="S76" s="168"/>
      <c r="T76" s="168"/>
      <c r="U76" s="168"/>
      <c r="V76" s="168"/>
      <c r="W76" s="32"/>
      <c r="X76" s="32"/>
      <c r="Y76">
        <v>44349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8"/>
        <v>151</v>
      </c>
      <c r="AM76" s="117">
        <f t="shared" si="10"/>
        <v>-25670000</v>
      </c>
      <c r="AN76" s="20"/>
    </row>
    <row r="77" spans="1:40">
      <c r="D77" s="1" t="s">
        <v>305</v>
      </c>
      <c r="E77" s="1">
        <v>70000</v>
      </c>
      <c r="K77" s="168"/>
      <c r="L77" s="117"/>
      <c r="M77" s="168" t="s">
        <v>4742</v>
      </c>
      <c r="N77" s="113">
        <f>50*P68</f>
        <v>24550000</v>
      </c>
      <c r="P77" t="s">
        <v>25</v>
      </c>
      <c r="R77" s="115"/>
      <c r="S77" s="115"/>
      <c r="T77" s="115" t="s">
        <v>25</v>
      </c>
      <c r="U77" s="115"/>
      <c r="V77" s="115"/>
      <c r="W77" s="195"/>
      <c r="X77" s="195"/>
      <c r="Y77">
        <v>9625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8"/>
        <v>148</v>
      </c>
      <c r="AM77" s="117">
        <f t="shared" si="10"/>
        <v>-44400000</v>
      </c>
      <c r="AN77" s="20"/>
    </row>
    <row r="78" spans="1:40">
      <c r="D78" s="1" t="s">
        <v>321</v>
      </c>
      <c r="E78" s="1">
        <v>100000</v>
      </c>
      <c r="K78" s="168"/>
      <c r="L78" s="117"/>
      <c r="M78" s="168"/>
      <c r="N78" s="113"/>
      <c r="P78" t="s">
        <v>25</v>
      </c>
      <c r="Q78" t="s">
        <v>25</v>
      </c>
      <c r="S78" s="26" t="s">
        <v>25</v>
      </c>
      <c r="T78" t="s">
        <v>25</v>
      </c>
      <c r="U78" s="96" t="s">
        <v>25</v>
      </c>
      <c r="V78" s="115" t="s">
        <v>25</v>
      </c>
      <c r="W78" s="195" t="s">
        <v>25</v>
      </c>
      <c r="X78" s="195"/>
      <c r="Y78">
        <v>6980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145</v>
      </c>
      <c r="AM78" s="117">
        <f t="shared" si="10"/>
        <v>-1653000000</v>
      </c>
      <c r="AN78" s="20"/>
    </row>
    <row r="79" spans="1:40">
      <c r="D79" s="1" t="s">
        <v>306</v>
      </c>
      <c r="E79" s="1">
        <v>80000</v>
      </c>
      <c r="K79" s="168" t="s">
        <v>598</v>
      </c>
      <c r="L79" s="113">
        <f>SUM(L16:L62)</f>
        <v>435059959.25071001</v>
      </c>
      <c r="M79" s="168"/>
      <c r="N79" s="113">
        <f>SUM(N16:N78)</f>
        <v>461934824.66458404</v>
      </c>
      <c r="Q79" t="s">
        <v>25</v>
      </c>
      <c r="T79" t="s">
        <v>25</v>
      </c>
      <c r="W79" s="195"/>
      <c r="X79" s="195"/>
      <c r="Y79">
        <v>6963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132</v>
      </c>
      <c r="AM79" s="117">
        <f>AJ79*AL79</f>
        <v>-1320000000</v>
      </c>
      <c r="AN79" s="20"/>
    </row>
    <row r="80" spans="1:40">
      <c r="D80" s="31" t="s">
        <v>307</v>
      </c>
      <c r="E80" s="1">
        <v>150000</v>
      </c>
      <c r="J80" t="s">
        <v>25</v>
      </c>
      <c r="K80" s="168" t="s">
        <v>599</v>
      </c>
      <c r="L80" s="113">
        <f>L16+L17+L29</f>
        <v>621510</v>
      </c>
      <c r="M80" s="168"/>
      <c r="N80" s="113">
        <f>N16+N17+N43</f>
        <v>641053</v>
      </c>
      <c r="T80" t="s">
        <v>25</v>
      </c>
      <c r="U80" s="96" t="s">
        <v>25</v>
      </c>
      <c r="V80" t="s">
        <v>25</v>
      </c>
      <c r="W80" s="195"/>
      <c r="X80" s="195"/>
      <c r="Y80" s="96">
        <v>0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131</v>
      </c>
      <c r="AM80" s="117">
        <f>AJ80*AL80</f>
        <v>-320950000</v>
      </c>
      <c r="AN80" s="20"/>
    </row>
    <row r="81" spans="4:52">
      <c r="D81" s="31" t="s">
        <v>308</v>
      </c>
      <c r="E81" s="1">
        <v>300000</v>
      </c>
      <c r="K81" s="56" t="s">
        <v>716</v>
      </c>
      <c r="L81" s="1">
        <f>L79+N7</f>
        <v>505059959.25071001</v>
      </c>
      <c r="M81" s="113"/>
      <c r="N81" s="168"/>
      <c r="O81" s="115"/>
      <c r="P81" s="115"/>
      <c r="W81" s="195"/>
      <c r="X81" s="195"/>
      <c r="Y81" s="96">
        <v>9904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8"/>
        <v>126</v>
      </c>
      <c r="AM81" s="117">
        <f t="shared" si="10"/>
        <v>-57466206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2" t="s">
        <v>476</v>
      </c>
      <c r="O82" s="96"/>
      <c r="P82" s="96"/>
      <c r="Q82" s="73" t="s">
        <v>4295</v>
      </c>
      <c r="R82" s="112"/>
      <c r="S82" s="112"/>
      <c r="T82" s="112"/>
      <c r="U82" s="168" t="s">
        <v>4363</v>
      </c>
      <c r="V82" s="36" t="s">
        <v>4365</v>
      </c>
      <c r="W82" s="32"/>
      <c r="X82" s="32"/>
      <c r="Y82" s="96">
        <v>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125</v>
      </c>
      <c r="AM82" s="117">
        <f t="shared" si="10"/>
        <v>-62500000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25"/>
      <c r="O83" t="s">
        <v>25</v>
      </c>
      <c r="Q83" s="112" t="s">
        <v>267</v>
      </c>
      <c r="R83" s="112" t="s">
        <v>180</v>
      </c>
      <c r="S83" s="112" t="s">
        <v>183</v>
      </c>
      <c r="T83" s="112" t="s">
        <v>8</v>
      </c>
      <c r="U83" s="168"/>
      <c r="V83" s="99"/>
      <c r="W83" s="32">
        <v>2</v>
      </c>
      <c r="X83" s="32">
        <v>4</v>
      </c>
      <c r="Y83" s="96">
        <v>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8"/>
        <v>123</v>
      </c>
      <c r="AM83" s="117">
        <f t="shared" si="10"/>
        <v>-766827510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M84" s="25" t="s">
        <v>4080</v>
      </c>
      <c r="N84" s="99" t="s">
        <v>452</v>
      </c>
      <c r="O84" s="113">
        <f>O66*25</f>
        <v>31412200</v>
      </c>
      <c r="P84" s="115"/>
      <c r="Q84" s="35">
        <v>184971545</v>
      </c>
      <c r="R84" s="5" t="s">
        <v>4172</v>
      </c>
      <c r="S84" s="5">
        <v>171</v>
      </c>
      <c r="T84" s="5" t="s">
        <v>4346</v>
      </c>
      <c r="U84" s="168">
        <v>192</v>
      </c>
      <c r="V84" s="99">
        <f>U84*(1+$N$99+$Q$15*S84/36500)</f>
        <v>219.33659178082192</v>
      </c>
      <c r="W84" s="32">
        <f t="shared" ref="W84:W106" si="19">V84*(1+$W$19/100)</f>
        <v>223.72332361643836</v>
      </c>
      <c r="X84" s="32">
        <f t="shared" ref="X84:X106" si="20">V84*(1+$X$19/100)</f>
        <v>228.11005545205481</v>
      </c>
      <c r="Y84" s="96">
        <v>10000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8"/>
        <v>120</v>
      </c>
      <c r="AM84" s="117">
        <f t="shared" si="10"/>
        <v>234114840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177"/>
      <c r="N85" s="99" t="s">
        <v>1087</v>
      </c>
      <c r="O85" s="113">
        <f>O39*25</f>
        <v>433375</v>
      </c>
      <c r="P85" s="115"/>
      <c r="Q85" s="35">
        <v>9560464</v>
      </c>
      <c r="R85" s="5" t="s">
        <v>4299</v>
      </c>
      <c r="S85" s="5">
        <f>S84-31</f>
        <v>140</v>
      </c>
      <c r="T85" s="5" t="s">
        <v>4312</v>
      </c>
      <c r="U85" s="168">
        <v>214.57</v>
      </c>
      <c r="V85" s="99">
        <f>U85*(1+$N$99+$Q$15*S85/36500)</f>
        <v>240.0174141369863</v>
      </c>
      <c r="W85" s="32">
        <f t="shared" si="19"/>
        <v>244.81776241972602</v>
      </c>
      <c r="X85" s="32">
        <f t="shared" si="20"/>
        <v>249.61811070246577</v>
      </c>
      <c r="Y85" s="96">
        <v>5664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8"/>
        <v>116</v>
      </c>
      <c r="AM85" s="117">
        <f t="shared" si="10"/>
        <v>69600000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M86" s="96" t="s">
        <v>4872</v>
      </c>
      <c r="N86" s="99" t="s">
        <v>751</v>
      </c>
      <c r="O86" s="113">
        <f>O21*25</f>
        <v>2060725</v>
      </c>
      <c r="Q86" s="35">
        <v>2000000</v>
      </c>
      <c r="R86" s="5" t="s">
        <v>4342</v>
      </c>
      <c r="S86" s="5">
        <f>S85-11</f>
        <v>129</v>
      </c>
      <c r="T86" s="5" t="s">
        <v>4345</v>
      </c>
      <c r="U86" s="168">
        <v>206.8</v>
      </c>
      <c r="V86" s="99">
        <f>U86*(1+$N$99+$Q$15*S86/36500)</f>
        <v>229.58086136986304</v>
      </c>
      <c r="W86" s="32">
        <f t="shared" si="19"/>
        <v>234.17247859726032</v>
      </c>
      <c r="X86" s="32">
        <f t="shared" si="20"/>
        <v>238.76409582465757</v>
      </c>
      <c r="Y86" s="96">
        <v>10000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8"/>
        <v>111</v>
      </c>
      <c r="AM86" s="117">
        <f t="shared" si="10"/>
        <v>832500000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M87" s="122" t="s">
        <v>4411</v>
      </c>
      <c r="O87" s="114"/>
      <c r="Q87" s="35">
        <v>1429825</v>
      </c>
      <c r="R87" s="5" t="s">
        <v>4372</v>
      </c>
      <c r="S87" s="5">
        <f>S86-7</f>
        <v>122</v>
      </c>
      <c r="T87" s="5" t="s">
        <v>4381</v>
      </c>
      <c r="U87" s="168">
        <v>203.9</v>
      </c>
      <c r="V87" s="99">
        <f>U87*(1+$N$99+$Q$15*S87/36500)</f>
        <v>225.26648547945209</v>
      </c>
      <c r="W87" s="32">
        <f t="shared" si="19"/>
        <v>229.77181518904112</v>
      </c>
      <c r="X87" s="32">
        <f t="shared" si="20"/>
        <v>234.27714489863018</v>
      </c>
      <c r="Y87" s="96">
        <v>8695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8"/>
        <v>109</v>
      </c>
      <c r="AM87" s="117">
        <f t="shared" si="10"/>
        <v>-64071944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s="122" t="s">
        <v>4507</v>
      </c>
      <c r="N88" s="96"/>
      <c r="Q88" s="35">
        <v>1420747</v>
      </c>
      <c r="R88" s="5" t="s">
        <v>4372</v>
      </c>
      <c r="S88" s="5">
        <f>S87</f>
        <v>122</v>
      </c>
      <c r="T88" s="5" t="s">
        <v>4383</v>
      </c>
      <c r="U88" s="168">
        <v>203.1</v>
      </c>
      <c r="V88" s="99">
        <f>U88*(1+$N$99+$Q$15*S88/36500)</f>
        <v>224.38265424657536</v>
      </c>
      <c r="W88" s="32">
        <f t="shared" si="19"/>
        <v>228.87030733150687</v>
      </c>
      <c r="X88" s="32">
        <f t="shared" si="20"/>
        <v>233.35796041643837</v>
      </c>
      <c r="Y88" s="96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106</v>
      </c>
      <c r="AM88" s="117">
        <f t="shared" si="10"/>
        <v>-96193834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s="122" t="s">
        <v>4577</v>
      </c>
      <c r="N89" s="96"/>
      <c r="P89" t="s">
        <v>25</v>
      </c>
      <c r="Q89" s="35">
        <v>2412371</v>
      </c>
      <c r="R89" s="5" t="s">
        <v>4374</v>
      </c>
      <c r="S89" s="5">
        <f>S88-1</f>
        <v>121</v>
      </c>
      <c r="T89" s="5" t="s">
        <v>4390</v>
      </c>
      <c r="U89" s="168">
        <v>3930</v>
      </c>
      <c r="V89" s="99">
        <f>U89*(1+$N$99+$Q$15*S89/36500)</f>
        <v>4338.8061369863017</v>
      </c>
      <c r="W89" s="32">
        <f t="shared" si="19"/>
        <v>4425.5822597260276</v>
      </c>
      <c r="X89" s="32">
        <f t="shared" si="20"/>
        <v>4512.3583824657535</v>
      </c>
      <c r="Y89" s="96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8"/>
        <v>106</v>
      </c>
      <c r="AM89" s="117">
        <f t="shared" si="10"/>
        <v>259700000</v>
      </c>
      <c r="AN89" s="20" t="s">
        <v>4483</v>
      </c>
    </row>
    <row r="90" spans="4:52" ht="45">
      <c r="D90" s="32" t="s">
        <v>327</v>
      </c>
      <c r="E90" s="1">
        <v>150000</v>
      </c>
      <c r="G90" s="47">
        <v>0</v>
      </c>
      <c r="H90" s="48" t="s">
        <v>789</v>
      </c>
      <c r="K90" s="215" t="s">
        <v>4792</v>
      </c>
      <c r="L90" s="22" t="s">
        <v>4758</v>
      </c>
      <c r="M90" s="209" t="s">
        <v>4733</v>
      </c>
      <c r="N90" s="96"/>
      <c r="P90" s="115"/>
      <c r="Q90" s="35">
        <v>2010885</v>
      </c>
      <c r="R90" s="5" t="s">
        <v>4393</v>
      </c>
      <c r="S90" s="5">
        <f>S89-2</f>
        <v>119</v>
      </c>
      <c r="T90" s="5" t="s">
        <v>4399</v>
      </c>
      <c r="U90" s="168">
        <v>202.1</v>
      </c>
      <c r="V90" s="99">
        <f>U90*(1+$N$99+$Q$15*S90/36500)</f>
        <v>222.81275835616441</v>
      </c>
      <c r="W90" s="32">
        <f t="shared" si="19"/>
        <v>227.2690135232877</v>
      </c>
      <c r="X90" s="32">
        <f t="shared" si="20"/>
        <v>231.72526869041099</v>
      </c>
      <c r="Y90" s="96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8"/>
        <v>105</v>
      </c>
      <c r="AM90" s="117">
        <f t="shared" si="10"/>
        <v>157500000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4793</v>
      </c>
      <c r="M91" s="122"/>
      <c r="N91" s="96"/>
      <c r="P91" s="115" t="s">
        <v>25</v>
      </c>
      <c r="Q91" s="35">
        <v>1994038</v>
      </c>
      <c r="R91" s="5" t="s">
        <v>4404</v>
      </c>
      <c r="S91" s="5">
        <f>S90-3</f>
        <v>116</v>
      </c>
      <c r="T91" s="5" t="s">
        <v>4420</v>
      </c>
      <c r="U91" s="168">
        <v>5560.3</v>
      </c>
      <c r="V91" s="99">
        <f>U91*(1+$N$99+$Q$15*S91/36500)</f>
        <v>6117.3658915068499</v>
      </c>
      <c r="W91" s="32">
        <f t="shared" si="19"/>
        <v>6239.7132093369873</v>
      </c>
      <c r="X91" s="32">
        <f t="shared" si="20"/>
        <v>6362.0605271671238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8"/>
        <v>104</v>
      </c>
      <c r="AM91" s="117">
        <f t="shared" si="10"/>
        <v>275392000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4580</v>
      </c>
      <c r="L92" s="96"/>
      <c r="M92" s="122"/>
      <c r="O92" t="s">
        <v>25</v>
      </c>
      <c r="P92" s="115"/>
      <c r="Q92" s="35">
        <v>444</v>
      </c>
      <c r="R92" s="5" t="s">
        <v>4404</v>
      </c>
      <c r="S92" s="5">
        <f>S91</f>
        <v>116</v>
      </c>
      <c r="T92" s="5" t="s">
        <v>4613</v>
      </c>
      <c r="U92" s="168">
        <v>441.8</v>
      </c>
      <c r="V92" s="99">
        <f>U92*(1+$N$99+$Q$15*S92/36500)</f>
        <v>486.06230794520559</v>
      </c>
      <c r="W92" s="32">
        <f t="shared" si="19"/>
        <v>495.78355410410973</v>
      </c>
      <c r="X92" s="32">
        <f t="shared" si="20"/>
        <v>505.50480026301381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8"/>
        <v>103</v>
      </c>
      <c r="AM92" s="117">
        <f t="shared" si="10"/>
        <v>63345000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4873</v>
      </c>
      <c r="M93" s="96">
        <f>O66+O21+O39-O73</f>
        <v>1289695</v>
      </c>
      <c r="N93" s="113">
        <f>M93*P66</f>
        <v>232403039</v>
      </c>
      <c r="P93" s="115"/>
      <c r="Q93" s="35">
        <v>1971103</v>
      </c>
      <c r="R93" s="5" t="s">
        <v>4415</v>
      </c>
      <c r="S93" s="5">
        <f>S92-1</f>
        <v>115</v>
      </c>
      <c r="T93" s="5" t="s">
        <v>4416</v>
      </c>
      <c r="U93" s="168">
        <v>196.2</v>
      </c>
      <c r="V93" s="99">
        <f>U93*(1+$N$99+$Q$15*S93/36500)</f>
        <v>215.70604273972603</v>
      </c>
      <c r="W93" s="32">
        <f t="shared" si="19"/>
        <v>220.02016359452057</v>
      </c>
      <c r="X93" s="32">
        <f t="shared" si="20"/>
        <v>224.33428444931508</v>
      </c>
      <c r="Y93">
        <v>13000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99</v>
      </c>
      <c r="AM93" s="117">
        <f t="shared" si="10"/>
        <v>1386000000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4874</v>
      </c>
      <c r="M94" t="s">
        <v>4267</v>
      </c>
      <c r="P94" s="115"/>
      <c r="Q94" s="35">
        <v>1049856</v>
      </c>
      <c r="R94" s="5" t="s">
        <v>4438</v>
      </c>
      <c r="S94" s="5">
        <f>S93-6</f>
        <v>109</v>
      </c>
      <c r="T94" s="5" t="s">
        <v>4477</v>
      </c>
      <c r="U94" s="168">
        <v>184.5</v>
      </c>
      <c r="V94" s="99">
        <f>U94*(1+$N$99+$Q$15*S94/36500)</f>
        <v>201.99363287671235</v>
      </c>
      <c r="W94" s="32">
        <f t="shared" si="19"/>
        <v>206.03350553424661</v>
      </c>
      <c r="X94" s="32">
        <f t="shared" si="20"/>
        <v>210.07337819178085</v>
      </c>
      <c r="Y94" t="s">
        <v>25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97</v>
      </c>
      <c r="AM94" s="117">
        <f t="shared" si="10"/>
        <v>127361000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4875</v>
      </c>
      <c r="M95" t="s">
        <v>4582</v>
      </c>
      <c r="N95" t="s">
        <v>25</v>
      </c>
      <c r="P95" s="115"/>
      <c r="Q95" s="35">
        <v>1783234</v>
      </c>
      <c r="R95" s="5" t="s">
        <v>4440</v>
      </c>
      <c r="S95" s="5">
        <f>S94-2</f>
        <v>107</v>
      </c>
      <c r="T95" s="5" t="s">
        <v>4441</v>
      </c>
      <c r="U95" s="168">
        <v>177.5</v>
      </c>
      <c r="V95" s="99">
        <f>U95*(1+$N$99+$Q$15*S95/36500)</f>
        <v>194.05758904109589</v>
      </c>
      <c r="W95" s="32">
        <f t="shared" si="19"/>
        <v>197.9387408219178</v>
      </c>
      <c r="X95" s="32">
        <f t="shared" si="20"/>
        <v>201.81989260273974</v>
      </c>
      <c r="Y95" t="s">
        <v>25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1">AL96+AK95</f>
        <v>97</v>
      </c>
      <c r="AM95" s="117">
        <f t="shared" si="10"/>
        <v>220093000</v>
      </c>
      <c r="AN95" s="99"/>
    </row>
    <row r="96" spans="4:52">
      <c r="D96" s="32" t="s">
        <v>314</v>
      </c>
      <c r="E96" s="1">
        <v>140000</v>
      </c>
      <c r="K96" t="s">
        <v>4540</v>
      </c>
      <c r="P96" s="115"/>
      <c r="Q96" s="35">
        <v>1662335</v>
      </c>
      <c r="R96" s="5" t="s">
        <v>4444</v>
      </c>
      <c r="S96" s="5">
        <f>S95-5</f>
        <v>102</v>
      </c>
      <c r="T96" s="221" t="s">
        <v>4594</v>
      </c>
      <c r="U96" s="168">
        <v>190.3</v>
      </c>
      <c r="V96" s="99">
        <f>U96*(1+$N$99+$Q$15*S96/36500)</f>
        <v>207.32168328767125</v>
      </c>
      <c r="W96" s="32">
        <f t="shared" si="19"/>
        <v>211.46811695342467</v>
      </c>
      <c r="X96" s="32">
        <f t="shared" si="20"/>
        <v>215.61455061917812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1"/>
        <v>96</v>
      </c>
      <c r="AM96" s="117">
        <f t="shared" si="10"/>
        <v>72000000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t="s">
        <v>4586</v>
      </c>
      <c r="M97" t="s">
        <v>949</v>
      </c>
      <c r="N97">
        <v>6.3E-3</v>
      </c>
      <c r="P97" s="115"/>
      <c r="Q97" s="169">
        <v>499973</v>
      </c>
      <c r="R97" s="168" t="s">
        <v>4584</v>
      </c>
      <c r="S97" s="168">
        <f>S96-37</f>
        <v>65</v>
      </c>
      <c r="T97" s="73" t="s">
        <v>4585</v>
      </c>
      <c r="U97" s="168">
        <v>413</v>
      </c>
      <c r="V97" s="99">
        <f>U97*(1+$N$99+$Q$15*S97/36500)</f>
        <v>438.21902465753431</v>
      </c>
      <c r="W97" s="32">
        <f t="shared" si="19"/>
        <v>446.98340515068497</v>
      </c>
      <c r="X97" s="32">
        <f t="shared" si="20"/>
        <v>455.7477856438357</v>
      </c>
      <c r="Y97">
        <v>23000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1"/>
        <v>92</v>
      </c>
      <c r="AM97" s="117">
        <f t="shared" si="10"/>
        <v>174800000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t="s">
        <v>4539</v>
      </c>
      <c r="M98" t="s">
        <v>61</v>
      </c>
      <c r="N98">
        <v>4.8999999999999998E-3</v>
      </c>
      <c r="P98" s="115"/>
      <c r="Q98" s="169">
        <v>11869317</v>
      </c>
      <c r="R98" s="168" t="s">
        <v>4595</v>
      </c>
      <c r="S98" s="168">
        <f>S97-2</f>
        <v>63</v>
      </c>
      <c r="T98" s="168" t="s">
        <v>4596</v>
      </c>
      <c r="U98" s="168">
        <v>395600</v>
      </c>
      <c r="V98" s="99">
        <f>U98*(1+$N$99+$Q$15*S98/36500)</f>
        <v>419149.58027397265</v>
      </c>
      <c r="W98" s="32">
        <f t="shared" si="19"/>
        <v>427532.57187945209</v>
      </c>
      <c r="X98" s="32">
        <f t="shared" si="20"/>
        <v>435915.5634849316</v>
      </c>
      <c r="Y98">
        <v>6000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1"/>
        <v>89</v>
      </c>
      <c r="AM98" s="117">
        <f t="shared" si="10"/>
        <v>569600000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22" t="s">
        <v>4243</v>
      </c>
      <c r="M99" t="s">
        <v>6</v>
      </c>
      <c r="N99">
        <f>N97+N98</f>
        <v>1.12E-2</v>
      </c>
      <c r="O99" t="s">
        <v>25</v>
      </c>
      <c r="P99" t="s">
        <v>25</v>
      </c>
      <c r="Q99" s="35">
        <v>2272487</v>
      </c>
      <c r="R99" s="5" t="s">
        <v>4605</v>
      </c>
      <c r="S99" s="5">
        <f>S98-3</f>
        <v>60</v>
      </c>
      <c r="T99" s="5" t="s">
        <v>4606</v>
      </c>
      <c r="U99" s="168">
        <v>174.9</v>
      </c>
      <c r="V99" s="99">
        <f>U99*(1+$N$99+$Q$15*S99/36500)</f>
        <v>184.90907178082196</v>
      </c>
      <c r="W99" s="32">
        <f t="shared" si="19"/>
        <v>188.60725321643841</v>
      </c>
      <c r="X99" s="32">
        <f t="shared" si="20"/>
        <v>192.30543465205486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1"/>
        <v>88</v>
      </c>
      <c r="AM99" s="117">
        <f t="shared" si="10"/>
        <v>440000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t="s">
        <v>4536</v>
      </c>
      <c r="Q100" s="35">
        <v>3975257</v>
      </c>
      <c r="R100" s="5" t="s">
        <v>4611</v>
      </c>
      <c r="S100" s="5">
        <f>S99-1</f>
        <v>59</v>
      </c>
      <c r="T100" s="5" t="s">
        <v>4612</v>
      </c>
      <c r="U100" s="168">
        <v>173</v>
      </c>
      <c r="V100" s="99">
        <f>U100*(1+$N$99+$Q$15*S100/36500)</f>
        <v>182.76762739726027</v>
      </c>
      <c r="W100" s="32">
        <f t="shared" si="19"/>
        <v>186.42297994520547</v>
      </c>
      <c r="X100" s="32">
        <f t="shared" si="20"/>
        <v>190.0783324931507</v>
      </c>
      <c r="Y100">
        <v>3300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1"/>
        <v>83</v>
      </c>
      <c r="AM100" s="117">
        <f t="shared" si="10"/>
        <v>-145262284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Q101" s="35">
        <v>1031662</v>
      </c>
      <c r="R101" s="5" t="s">
        <v>4234</v>
      </c>
      <c r="S101" s="5">
        <f>S100-1</f>
        <v>58</v>
      </c>
      <c r="T101" s="5" t="s">
        <v>4615</v>
      </c>
      <c r="U101" s="168">
        <v>171.2</v>
      </c>
      <c r="V101" s="99">
        <f>U101*(1+$N$99+$Q$15*S101/36500)</f>
        <v>180.7346673972603</v>
      </c>
      <c r="W101" s="32">
        <f t="shared" si="19"/>
        <v>184.3493607452055</v>
      </c>
      <c r="X101" s="32">
        <f t="shared" si="20"/>
        <v>187.96405409315071</v>
      </c>
      <c r="Y101" t="s">
        <v>25</v>
      </c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1"/>
        <v>82</v>
      </c>
      <c r="AM101" s="117">
        <f t="shared" si="10"/>
        <v>32800000</v>
      </c>
      <c r="AN101" s="99"/>
    </row>
    <row r="102" spans="4:47">
      <c r="F102" s="96"/>
      <c r="G102" s="96"/>
      <c r="H102" s="96"/>
      <c r="I102" s="96"/>
      <c r="J102" s="96"/>
      <c r="K102" t="s">
        <v>25</v>
      </c>
      <c r="Q102" s="169">
        <v>2666019</v>
      </c>
      <c r="R102" s="168" t="s">
        <v>4234</v>
      </c>
      <c r="S102" s="168">
        <f>S101</f>
        <v>58</v>
      </c>
      <c r="T102" s="168" t="s">
        <v>4617</v>
      </c>
      <c r="U102" s="168">
        <v>749</v>
      </c>
      <c r="V102" s="99">
        <f>U102*(1+$N$99+$Q$15*S102/36500)</f>
        <v>790.71416986301381</v>
      </c>
      <c r="W102" s="32">
        <f t="shared" si="19"/>
        <v>806.52845326027409</v>
      </c>
      <c r="X102" s="32">
        <f t="shared" si="20"/>
        <v>822.34273665753437</v>
      </c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1"/>
        <v>82</v>
      </c>
      <c r="AM102" s="117">
        <f t="shared" si="10"/>
        <v>-172644522</v>
      </c>
      <c r="AN102" s="99"/>
      <c r="AO102" t="s">
        <v>25</v>
      </c>
    </row>
    <row r="103" spans="4:47">
      <c r="K103" s="96"/>
      <c r="M103" s="194" t="s">
        <v>4535</v>
      </c>
      <c r="Q103" s="35">
        <v>577500</v>
      </c>
      <c r="R103" s="5" t="s">
        <v>4234</v>
      </c>
      <c r="S103" s="5">
        <f>S102</f>
        <v>58</v>
      </c>
      <c r="T103" s="5" t="s">
        <v>4620</v>
      </c>
      <c r="U103" s="168">
        <v>175</v>
      </c>
      <c r="V103" s="99">
        <f>U103*(1+$N$99+$Q$15*S103/36500)</f>
        <v>184.74630136986303</v>
      </c>
      <c r="W103" s="32">
        <f t="shared" si="19"/>
        <v>188.44122739726029</v>
      </c>
      <c r="X103" s="32">
        <f t="shared" si="20"/>
        <v>192.13615342465755</v>
      </c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1"/>
        <v>81</v>
      </c>
      <c r="AM103" s="117">
        <f t="shared" si="10"/>
        <v>-447737058</v>
      </c>
      <c r="AN103" s="99"/>
    </row>
    <row r="104" spans="4:47">
      <c r="H104" s="96"/>
      <c r="K104" s="96"/>
      <c r="M104" t="s">
        <v>4536</v>
      </c>
      <c r="Q104" s="35">
        <v>12636487</v>
      </c>
      <c r="R104" s="5" t="s">
        <v>3691</v>
      </c>
      <c r="S104" s="5">
        <f>S103-2</f>
        <v>56</v>
      </c>
      <c r="T104" s="5" t="s">
        <v>4623</v>
      </c>
      <c r="U104" s="168">
        <v>172.1</v>
      </c>
      <c r="V104" s="99">
        <f>U104*(1+$N$99+$Q$15*S104/36500)</f>
        <v>181.42074739726027</v>
      </c>
      <c r="W104" s="32">
        <f t="shared" si="19"/>
        <v>185.04916234520547</v>
      </c>
      <c r="X104" s="32">
        <f t="shared" si="20"/>
        <v>188.67757729315068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1"/>
        <v>81</v>
      </c>
      <c r="AM104" s="117">
        <f t="shared" si="10"/>
        <v>315900000</v>
      </c>
      <c r="AN104" s="99"/>
    </row>
    <row r="105" spans="4:47">
      <c r="F105" s="96"/>
      <c r="G105" s="96"/>
      <c r="H105" s="96"/>
      <c r="I105" s="96"/>
      <c r="J105" s="96"/>
      <c r="K105" s="96"/>
      <c r="M105" t="s">
        <v>4539</v>
      </c>
      <c r="Q105" s="169">
        <v>1210169</v>
      </c>
      <c r="R105" s="168" t="s">
        <v>4626</v>
      </c>
      <c r="S105" s="168">
        <f>S104-3</f>
        <v>53</v>
      </c>
      <c r="T105" s="168" t="s">
        <v>4627</v>
      </c>
      <c r="U105" s="168">
        <v>1204.7</v>
      </c>
      <c r="V105" s="99">
        <f>U105*(1+$N$99+$Q$15*S105/36500)</f>
        <v>1267.1727715068496</v>
      </c>
      <c r="W105" s="32">
        <f t="shared" si="19"/>
        <v>1292.5162269369866</v>
      </c>
      <c r="X105" s="32">
        <f t="shared" si="20"/>
        <v>1317.8596823671237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1"/>
        <v>78</v>
      </c>
      <c r="AM105" s="117">
        <f t="shared" si="10"/>
        <v>-309640812</v>
      </c>
      <c r="AN105" s="99"/>
    </row>
    <row r="106" spans="4:47">
      <c r="I106" s="96"/>
      <c r="J106" s="96"/>
      <c r="K106" s="96"/>
      <c r="M106" t="s">
        <v>4540</v>
      </c>
      <c r="Q106" s="39">
        <v>11121445</v>
      </c>
      <c r="R106" s="5" t="s">
        <v>4626</v>
      </c>
      <c r="S106" s="5">
        <f>S105</f>
        <v>53</v>
      </c>
      <c r="T106" s="5" t="s">
        <v>4866</v>
      </c>
      <c r="U106" s="168">
        <v>171.8</v>
      </c>
      <c r="V106" s="99">
        <f>U106*(1+$N$99+$Q$15*S106/36500)</f>
        <v>180.70912438356169</v>
      </c>
      <c r="W106" s="32">
        <f t="shared" si="19"/>
        <v>184.32330687123292</v>
      </c>
      <c r="X106" s="32">
        <f t="shared" si="20"/>
        <v>187.93748935890417</v>
      </c>
      <c r="Y106" t="s">
        <v>25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1"/>
        <v>77</v>
      </c>
      <c r="AM106" s="117">
        <f t="shared" si="10"/>
        <v>-1969233035</v>
      </c>
      <c r="AN106" s="99"/>
      <c r="AP106" t="s">
        <v>25</v>
      </c>
    </row>
    <row r="107" spans="4:47">
      <c r="F107" s="96"/>
      <c r="G107" s="96"/>
      <c r="H107" s="96" t="s">
        <v>25</v>
      </c>
      <c r="I107" s="96"/>
      <c r="J107" s="96"/>
      <c r="K107" s="96"/>
      <c r="L107" s="96"/>
      <c r="M107" s="96"/>
      <c r="N107" s="96"/>
      <c r="Q107" s="35">
        <v>8978273</v>
      </c>
      <c r="R107" s="5" t="s">
        <v>4631</v>
      </c>
      <c r="S107" s="5">
        <f>S106-1</f>
        <v>52</v>
      </c>
      <c r="T107" s="5" t="s">
        <v>4632</v>
      </c>
      <c r="U107" s="168">
        <v>3405.9</v>
      </c>
      <c r="V107" s="99">
        <f>U107*(1+$N$99+$Q$15*S107/36500)</f>
        <v>3579.9088306849317</v>
      </c>
      <c r="W107" s="32">
        <f t="shared" ref="W107:W156" si="22">V107*(1+$W$19/100)</f>
        <v>3651.5070072986305</v>
      </c>
      <c r="X107" s="32">
        <f t="shared" ref="X107:X156" si="23">V107*(1+$X$19/100)</f>
        <v>3723.1051839123293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1"/>
        <v>77</v>
      </c>
      <c r="AM107" s="117">
        <f t="shared" si="10"/>
        <v>308000000</v>
      </c>
      <c r="AN107" s="99"/>
    </row>
    <row r="108" spans="4:47">
      <c r="F108" s="96"/>
      <c r="G108" s="96"/>
      <c r="H108" s="96"/>
      <c r="I108" s="96"/>
      <c r="J108" s="96"/>
      <c r="K108" s="96"/>
      <c r="L108" s="96"/>
      <c r="M108" s="96"/>
      <c r="N108" s="96"/>
      <c r="Q108" s="169">
        <v>1013762</v>
      </c>
      <c r="R108" s="168" t="s">
        <v>4631</v>
      </c>
      <c r="S108" s="168">
        <f>S107</f>
        <v>52</v>
      </c>
      <c r="T108" s="168" t="s">
        <v>4634</v>
      </c>
      <c r="U108" s="168">
        <v>217.1</v>
      </c>
      <c r="V108" s="99">
        <f>U108*(1+$N$99+$Q$15*S108/36500)</f>
        <v>228.19172821917806</v>
      </c>
      <c r="W108" s="32">
        <f t="shared" si="22"/>
        <v>232.75556278356163</v>
      </c>
      <c r="X108" s="32">
        <f t="shared" si="23"/>
        <v>237.3193973479452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1"/>
        <v>76</v>
      </c>
      <c r="AM108" s="117">
        <f t="shared" si="10"/>
        <v>-380000000</v>
      </c>
      <c r="AN108" s="99"/>
    </row>
    <row r="109" spans="4:47">
      <c r="F109" s="96"/>
      <c r="G109" s="96"/>
      <c r="H109" s="96"/>
      <c r="I109" s="96"/>
      <c r="J109" s="96"/>
      <c r="K109" s="96"/>
      <c r="Q109" s="169">
        <v>12953846</v>
      </c>
      <c r="R109" s="168" t="s">
        <v>4631</v>
      </c>
      <c r="S109" s="168">
        <f>S108</f>
        <v>52</v>
      </c>
      <c r="T109" s="168" t="s">
        <v>4753</v>
      </c>
      <c r="U109" s="168">
        <v>4500.5</v>
      </c>
      <c r="V109" s="99">
        <f>U109*(1+$N$99+$Q$15*S109/36500)</f>
        <v>4730.4323945205479</v>
      </c>
      <c r="W109" s="32">
        <f t="shared" si="22"/>
        <v>4825.0410424109587</v>
      </c>
      <c r="X109" s="32">
        <f t="shared" si="23"/>
        <v>4919.6496903013704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1"/>
        <v>74</v>
      </c>
      <c r="AM109" s="117">
        <f t="shared" si="10"/>
        <v>740000000</v>
      </c>
      <c r="AN109" s="99"/>
    </row>
    <row r="110" spans="4:47">
      <c r="F110" s="96"/>
      <c r="G110" s="96"/>
      <c r="H110" s="96"/>
      <c r="I110" s="96"/>
      <c r="J110" s="96"/>
      <c r="K110" s="96"/>
      <c r="Q110" s="35">
        <v>4068640</v>
      </c>
      <c r="R110" s="5" t="s">
        <v>4638</v>
      </c>
      <c r="S110" s="5">
        <f>S109-1</f>
        <v>51</v>
      </c>
      <c r="T110" s="5" t="s">
        <v>4639</v>
      </c>
      <c r="U110" s="168">
        <v>3322.3</v>
      </c>
      <c r="V110" s="99">
        <f>U110*(1+$N$99+$Q$15*S110/36500)</f>
        <v>3489.4890586301376</v>
      </c>
      <c r="W110" s="32">
        <f t="shared" si="22"/>
        <v>3559.2788398027405</v>
      </c>
      <c r="X110" s="32">
        <f t="shared" si="23"/>
        <v>3629.068620975343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1"/>
        <v>70</v>
      </c>
      <c r="AM110" s="117">
        <f t="shared" si="10"/>
        <v>-366935590</v>
      </c>
      <c r="AN110" s="99"/>
    </row>
    <row r="111" spans="4:47">
      <c r="F111" s="96"/>
      <c r="G111" s="96"/>
      <c r="H111" s="96"/>
      <c r="I111" s="96"/>
      <c r="J111" s="96" t="s">
        <v>25</v>
      </c>
      <c r="K111" s="96"/>
      <c r="P111" s="115"/>
      <c r="Q111" s="35">
        <v>12656982</v>
      </c>
      <c r="R111" s="5" t="s">
        <v>4638</v>
      </c>
      <c r="S111" s="5">
        <f>S110</f>
        <v>51</v>
      </c>
      <c r="T111" s="5" t="s">
        <v>4640</v>
      </c>
      <c r="U111" s="168">
        <v>5249.9</v>
      </c>
      <c r="V111" s="99">
        <f>U111*(1+$N$99+$Q$15*S111/36500)</f>
        <v>5514.0922279452052</v>
      </c>
      <c r="W111" s="32">
        <f t="shared" si="22"/>
        <v>5624.3740725041098</v>
      </c>
      <c r="X111" s="32">
        <f t="shared" si="23"/>
        <v>5734.6559170630135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1"/>
        <v>70</v>
      </c>
      <c r="AM111" s="117">
        <f t="shared" si="10"/>
        <v>1533000000</v>
      </c>
      <c r="AN111" s="99"/>
      <c r="AP111" t="s">
        <v>25</v>
      </c>
      <c r="AU111"/>
    </row>
    <row r="112" spans="4:47">
      <c r="F112" s="96"/>
      <c r="G112" s="96"/>
      <c r="H112" s="96"/>
      <c r="I112" s="96"/>
      <c r="J112" s="96"/>
      <c r="K112" s="96"/>
      <c r="P112" s="128"/>
      <c r="Q112" s="169">
        <v>100905</v>
      </c>
      <c r="R112" s="168" t="s">
        <v>4641</v>
      </c>
      <c r="S112" s="168">
        <f>S111-1</f>
        <v>50</v>
      </c>
      <c r="T112" s="168" t="s">
        <v>4647</v>
      </c>
      <c r="U112" s="168">
        <v>372</v>
      </c>
      <c r="V112" s="99">
        <f>U112*(1+$N$99+$Q$15*S112/36500)</f>
        <v>390.43489315068501</v>
      </c>
      <c r="W112" s="32">
        <f t="shared" si="22"/>
        <v>398.24359101369873</v>
      </c>
      <c r="X112" s="32">
        <f t="shared" si="23"/>
        <v>406.05228887671245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1"/>
        <v>68</v>
      </c>
      <c r="AM112" s="117">
        <f t="shared" si="10"/>
        <v>-1020000000</v>
      </c>
      <c r="AN112" s="99"/>
      <c r="AO112" t="s">
        <v>25</v>
      </c>
    </row>
    <row r="113" spans="6:46">
      <c r="F113" s="96"/>
      <c r="G113" s="96"/>
      <c r="H113" s="96"/>
      <c r="I113" s="96"/>
      <c r="J113" s="96"/>
      <c r="K113" s="96"/>
      <c r="P113" s="128"/>
      <c r="Q113" s="35">
        <v>48637534</v>
      </c>
      <c r="R113" s="5" t="s">
        <v>4641</v>
      </c>
      <c r="S113" s="5">
        <f>S112</f>
        <v>50</v>
      </c>
      <c r="T113" s="5" t="s">
        <v>4645</v>
      </c>
      <c r="U113" s="168">
        <v>5330</v>
      </c>
      <c r="V113" s="99">
        <f>U113*(1+$N$99+$Q$15*S113/36500)</f>
        <v>5594.1343561643844</v>
      </c>
      <c r="W113" s="32">
        <f t="shared" si="22"/>
        <v>5706.0170432876721</v>
      </c>
      <c r="X113" s="32">
        <f t="shared" si="23"/>
        <v>5817.8997304109598</v>
      </c>
      <c r="Y113" t="s">
        <v>25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1"/>
        <v>68</v>
      </c>
      <c r="AM113" s="117">
        <f t="shared" si="10"/>
        <v>204000000</v>
      </c>
      <c r="AN113" s="99"/>
      <c r="AR113" s="96"/>
      <c r="AS113" s="96"/>
      <c r="AT113"/>
    </row>
    <row r="114" spans="6:46">
      <c r="F114" s="96"/>
      <c r="G114" s="96"/>
      <c r="H114" s="96"/>
      <c r="I114" s="96"/>
      <c r="J114" s="96"/>
      <c r="L114" s="96"/>
      <c r="M114" s="96"/>
      <c r="N114" s="96"/>
      <c r="P114" s="115"/>
      <c r="Q114" s="35">
        <v>40048573</v>
      </c>
      <c r="R114" s="5" t="s">
        <v>4641</v>
      </c>
      <c r="S114" s="5">
        <f>S113</f>
        <v>50</v>
      </c>
      <c r="T114" s="5" t="s">
        <v>4646</v>
      </c>
      <c r="U114" s="168">
        <v>498.9</v>
      </c>
      <c r="V114" s="99">
        <f>U114*(1+$N$99+$Q$15*S114/36500)</f>
        <v>523.62357041095891</v>
      </c>
      <c r="W114" s="32">
        <f t="shared" si="22"/>
        <v>534.09604181917814</v>
      </c>
      <c r="X114" s="32">
        <f t="shared" si="23"/>
        <v>544.56851322739726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1"/>
        <v>67</v>
      </c>
      <c r="AM114" s="117">
        <f t="shared" si="10"/>
        <v>-140950312</v>
      </c>
      <c r="AN114" s="99"/>
    </row>
    <row r="115" spans="6:46">
      <c r="Q115" s="169">
        <v>1000495</v>
      </c>
      <c r="R115" s="168" t="s">
        <v>4657</v>
      </c>
      <c r="S115" s="168">
        <f>S114-1</f>
        <v>49</v>
      </c>
      <c r="T115" s="168" t="s">
        <v>4724</v>
      </c>
      <c r="U115" s="168">
        <v>724.8</v>
      </c>
      <c r="V115" s="99">
        <f>U115*(1+$N$99+$Q$15*S115/36500)</f>
        <v>760.16229698630139</v>
      </c>
      <c r="W115" s="32">
        <f t="shared" si="22"/>
        <v>775.36554292602739</v>
      </c>
      <c r="X115" s="32">
        <f t="shared" si="23"/>
        <v>790.5687888657535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1"/>
        <v>67</v>
      </c>
      <c r="AM115" s="117">
        <f t="shared" si="10"/>
        <v>14740000</v>
      </c>
      <c r="AN115" s="99"/>
    </row>
    <row r="116" spans="6:46">
      <c r="Q116" s="35">
        <v>37856769</v>
      </c>
      <c r="R116" s="5" t="s">
        <v>4657</v>
      </c>
      <c r="S116" s="5">
        <f>S115</f>
        <v>49</v>
      </c>
      <c r="T116" s="5" t="s">
        <v>4659</v>
      </c>
      <c r="U116" s="168">
        <v>5393.6</v>
      </c>
      <c r="V116" s="99">
        <f>U116*(1+$N$99+$Q$15*S116/36500)</f>
        <v>5656.7485720547947</v>
      </c>
      <c r="W116" s="32">
        <f t="shared" si="22"/>
        <v>5769.883543495891</v>
      </c>
      <c r="X116" s="32">
        <f t="shared" si="23"/>
        <v>5883.0185149369863</v>
      </c>
      <c r="Y116" t="s">
        <v>25</v>
      </c>
      <c r="AH116" s="99">
        <v>96</v>
      </c>
      <c r="AI116" s="113" t="s">
        <v>4605</v>
      </c>
      <c r="AJ116" s="113">
        <v>4000000</v>
      </c>
      <c r="AK116" s="99">
        <v>1</v>
      </c>
      <c r="AL116" s="99">
        <f t="shared" si="21"/>
        <v>64</v>
      </c>
      <c r="AM116" s="117">
        <f t="shared" si="10"/>
        <v>256000000</v>
      </c>
      <c r="AN116" s="99"/>
    </row>
    <row r="117" spans="6:46">
      <c r="F117" s="216" t="s">
        <v>4723</v>
      </c>
      <c r="G117" s="216" t="s">
        <v>941</v>
      </c>
      <c r="H117" s="216" t="s">
        <v>4702</v>
      </c>
      <c r="I117" s="216" t="s">
        <v>4701</v>
      </c>
      <c r="J117" s="32" t="s">
        <v>4541</v>
      </c>
      <c r="K117" s="216" t="s">
        <v>4690</v>
      </c>
      <c r="L117" s="32" t="s">
        <v>4692</v>
      </c>
      <c r="M117" s="32" t="s">
        <v>4660</v>
      </c>
      <c r="N117" s="216" t="s">
        <v>4661</v>
      </c>
      <c r="Q117" s="35">
        <v>155151</v>
      </c>
      <c r="R117" s="5" t="s">
        <v>4668</v>
      </c>
      <c r="S117" s="5">
        <f>S116-3</f>
        <v>46</v>
      </c>
      <c r="T117" s="5" t="s">
        <v>4670</v>
      </c>
      <c r="U117" s="168">
        <v>5325.9</v>
      </c>
      <c r="V117" s="99">
        <f>U117*(1+$N$99+$Q$15*S117/36500)</f>
        <v>5573.4886882191777</v>
      </c>
      <c r="W117" s="32">
        <f t="shared" si="22"/>
        <v>5684.9584619835614</v>
      </c>
      <c r="X117" s="32">
        <f t="shared" si="23"/>
        <v>5796.4282357479451</v>
      </c>
      <c r="Y117" t="s">
        <v>25</v>
      </c>
      <c r="AH117" s="99">
        <v>97</v>
      </c>
      <c r="AI117" s="113" t="s">
        <v>4611</v>
      </c>
      <c r="AJ117" s="113">
        <v>-9000000</v>
      </c>
      <c r="AK117" s="99">
        <v>0</v>
      </c>
      <c r="AL117" s="99">
        <f t="shared" si="21"/>
        <v>63</v>
      </c>
      <c r="AM117" s="117">
        <f t="shared" si="10"/>
        <v>-567000000</v>
      </c>
      <c r="AN117" s="99"/>
      <c r="AP117" t="s">
        <v>25</v>
      </c>
      <c r="AQ117" t="s">
        <v>25</v>
      </c>
    </row>
    <row r="118" spans="6:46">
      <c r="F118" s="200">
        <f>$L$129/G118</f>
        <v>27247.502774694785</v>
      </c>
      <c r="G118" s="200">
        <f>P66</f>
        <v>180.2</v>
      </c>
      <c r="H118" s="200" t="s">
        <v>4853</v>
      </c>
      <c r="I118" s="200" t="s">
        <v>4852</v>
      </c>
      <c r="J118" s="217" t="s">
        <v>4243</v>
      </c>
      <c r="K118" s="200">
        <v>60</v>
      </c>
      <c r="L118" s="218">
        <f>K118*$L$129</f>
        <v>294600000</v>
      </c>
      <c r="M118" s="218">
        <f>N21+N39+N66</f>
        <v>244396610.39999998</v>
      </c>
      <c r="N118" s="184">
        <f t="shared" ref="N118:N126" si="24">L118-M118</f>
        <v>50203389.600000024</v>
      </c>
      <c r="Q118" s="169">
        <v>109726</v>
      </c>
      <c r="R118" s="168" t="s">
        <v>4668</v>
      </c>
      <c r="S118" s="168">
        <f>S117</f>
        <v>46</v>
      </c>
      <c r="T118" s="168" t="s">
        <v>4671</v>
      </c>
      <c r="U118" s="168">
        <v>3900.7</v>
      </c>
      <c r="V118" s="99">
        <f>U118*(1+$N$99+$Q$15*S118/36500)</f>
        <v>4082.0344591780822</v>
      </c>
      <c r="W118" s="32">
        <f t="shared" si="22"/>
        <v>4163.6751483616436</v>
      </c>
      <c r="X118" s="32">
        <f t="shared" si="23"/>
        <v>4245.3158375452058</v>
      </c>
      <c r="Y118" s="122" t="s">
        <v>25</v>
      </c>
      <c r="AH118" s="99">
        <v>98</v>
      </c>
      <c r="AI118" s="113" t="s">
        <v>4611</v>
      </c>
      <c r="AJ118" s="113">
        <v>13900000</v>
      </c>
      <c r="AK118" s="99">
        <v>2</v>
      </c>
      <c r="AL118" s="99">
        <f t="shared" si="21"/>
        <v>63</v>
      </c>
      <c r="AM118" s="117">
        <f t="shared" si="10"/>
        <v>875700000</v>
      </c>
      <c r="AN118" s="99"/>
    </row>
    <row r="119" spans="6:46">
      <c r="F119" s="216">
        <f>$L$129/G119</f>
        <v>799.92179990550812</v>
      </c>
      <c r="G119" s="216">
        <f>P57</f>
        <v>6138.1</v>
      </c>
      <c r="H119" s="216" t="s">
        <v>4706</v>
      </c>
      <c r="I119" s="216" t="s">
        <v>4705</v>
      </c>
      <c r="J119" s="32" t="s">
        <v>4395</v>
      </c>
      <c r="K119" s="216">
        <v>32</v>
      </c>
      <c r="L119" s="1">
        <f>K119*$L$129</f>
        <v>157120000</v>
      </c>
      <c r="M119" s="1">
        <f>N29+N57+N32</f>
        <v>188556293.90000001</v>
      </c>
      <c r="N119" s="113">
        <f t="shared" si="24"/>
        <v>-31436293.900000006</v>
      </c>
      <c r="Q119" s="35">
        <v>8938737</v>
      </c>
      <c r="R119" s="5" t="s">
        <v>4674</v>
      </c>
      <c r="S119" s="5">
        <f>S118-1</f>
        <v>45</v>
      </c>
      <c r="T119" s="5" t="s">
        <v>4676</v>
      </c>
      <c r="U119" s="168">
        <v>5179.5</v>
      </c>
      <c r="V119" s="99">
        <f>U119*(1+$N$99+$Q$15*S119/36500)</f>
        <v>5416.3095780821923</v>
      </c>
      <c r="W119" s="32">
        <f t="shared" si="22"/>
        <v>5524.6357696438363</v>
      </c>
      <c r="X119" s="32">
        <f t="shared" si="23"/>
        <v>5632.9619612054803</v>
      </c>
      <c r="AH119" s="99">
        <v>99</v>
      </c>
      <c r="AI119" s="113" t="s">
        <v>4621</v>
      </c>
      <c r="AJ119" s="113">
        <v>-8127577</v>
      </c>
      <c r="AK119" s="99">
        <v>1</v>
      </c>
      <c r="AL119" s="99">
        <f t="shared" si="21"/>
        <v>61</v>
      </c>
      <c r="AM119" s="117">
        <f t="shared" si="10"/>
        <v>-495782197</v>
      </c>
      <c r="AN119" s="99"/>
      <c r="AO119" t="s">
        <v>25</v>
      </c>
    </row>
    <row r="120" spans="6:46">
      <c r="F120" s="200">
        <f>$L$129/G120</f>
        <v>1357.2159106614702</v>
      </c>
      <c r="G120" s="200">
        <f>P52</f>
        <v>3617.7</v>
      </c>
      <c r="H120" s="200" t="s">
        <v>3881</v>
      </c>
      <c r="I120" s="200" t="s">
        <v>4707</v>
      </c>
      <c r="J120" s="217" t="s">
        <v>4391</v>
      </c>
      <c r="K120" s="200">
        <v>32</v>
      </c>
      <c r="L120" s="218">
        <f>K120*$L$129</f>
        <v>157120000</v>
      </c>
      <c r="M120" s="218">
        <f>N52+N34+N22</f>
        <v>192179459.39999998</v>
      </c>
      <c r="N120" s="184">
        <f t="shared" si="24"/>
        <v>-35059459.399999976</v>
      </c>
      <c r="Q120" s="35">
        <v>2595417</v>
      </c>
      <c r="R120" s="5" t="s">
        <v>4684</v>
      </c>
      <c r="S120" s="5">
        <f>S119-1</f>
        <v>44</v>
      </c>
      <c r="T120" s="5" t="s">
        <v>4685</v>
      </c>
      <c r="U120" s="168">
        <v>4803</v>
      </c>
      <c r="V120" s="99">
        <f>U120*(1+$N$99+$Q$15*S120/36500)</f>
        <v>5018.911298630137</v>
      </c>
      <c r="W120" s="32">
        <f t="shared" si="22"/>
        <v>5119.2895246027401</v>
      </c>
      <c r="X120" s="32">
        <f t="shared" si="23"/>
        <v>5219.6677505753423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1"/>
        <v>60</v>
      </c>
      <c r="AM120" s="117">
        <f t="shared" si="10"/>
        <v>947552940</v>
      </c>
      <c r="AN120" s="99"/>
      <c r="AO120" t="s">
        <v>25</v>
      </c>
      <c r="AP120" t="s">
        <v>25</v>
      </c>
    </row>
    <row r="121" spans="6:46">
      <c r="F121" s="216">
        <f>$L$129/G121</f>
        <v>8032.0628169474894</v>
      </c>
      <c r="G121" s="216">
        <f>P59</f>
        <v>611.29999999999995</v>
      </c>
      <c r="H121" s="216" t="s">
        <v>4704</v>
      </c>
      <c r="I121" s="216" t="s">
        <v>4703</v>
      </c>
      <c r="J121" s="32" t="s">
        <v>4410</v>
      </c>
      <c r="K121" s="216">
        <v>32</v>
      </c>
      <c r="L121" s="1">
        <f>K121*$L$129</f>
        <v>157120000</v>
      </c>
      <c r="M121" s="1">
        <f>N59+N25+N36</f>
        <v>159992492.5</v>
      </c>
      <c r="N121" s="113">
        <f t="shared" si="24"/>
        <v>-2872492.5</v>
      </c>
      <c r="Q121" s="169">
        <v>2505816</v>
      </c>
      <c r="R121" s="168" t="s">
        <v>4684</v>
      </c>
      <c r="S121" s="168">
        <f>S120</f>
        <v>44</v>
      </c>
      <c r="T121" s="168" t="s">
        <v>4686</v>
      </c>
      <c r="U121" s="168">
        <v>3723</v>
      </c>
      <c r="V121" s="99">
        <f>U121*(1+$N$99+$Q$15*S121/36500)</f>
        <v>3890.3616000000002</v>
      </c>
      <c r="W121" s="32">
        <f t="shared" si="22"/>
        <v>3968.1688320000003</v>
      </c>
      <c r="X121" s="32">
        <f t="shared" si="23"/>
        <v>4045.9760640000004</v>
      </c>
      <c r="AH121" s="99">
        <v>101</v>
      </c>
      <c r="AI121" s="113" t="s">
        <v>4626</v>
      </c>
      <c r="AJ121" s="113">
        <v>8800000</v>
      </c>
      <c r="AK121" s="99">
        <v>0</v>
      </c>
      <c r="AL121" s="99">
        <f t="shared" ref="AL121:AL125" si="25">AL122+AK121</f>
        <v>57</v>
      </c>
      <c r="AM121" s="117">
        <f t="shared" ref="AM121:AM150" si="26">AJ121*AL121</f>
        <v>501600000</v>
      </c>
      <c r="AN121" s="99"/>
      <c r="AP121" t="s">
        <v>25</v>
      </c>
    </row>
    <row r="122" spans="6:46" ht="45">
      <c r="F122" s="200">
        <f>$L$129/G122</f>
        <v>898.47752891231153</v>
      </c>
      <c r="G122" s="200">
        <f>P61</f>
        <v>5464.8</v>
      </c>
      <c r="H122" s="200" t="s">
        <v>4708</v>
      </c>
      <c r="I122" s="200" t="s">
        <v>4707</v>
      </c>
      <c r="J122" s="217" t="s">
        <v>4537</v>
      </c>
      <c r="K122" s="200">
        <v>21</v>
      </c>
      <c r="L122" s="218">
        <f>K122*$L$129</f>
        <v>103110000</v>
      </c>
      <c r="M122" s="218">
        <f>N61</f>
        <v>15918962.4</v>
      </c>
      <c r="N122" s="184">
        <f t="shared" si="24"/>
        <v>87191037.599999994</v>
      </c>
      <c r="Q122" s="169">
        <v>183283</v>
      </c>
      <c r="R122" s="213" t="s">
        <v>4688</v>
      </c>
      <c r="S122" s="213">
        <f>S121-1</f>
        <v>43</v>
      </c>
      <c r="T122" s="213" t="s">
        <v>4699</v>
      </c>
      <c r="U122" s="213">
        <v>347.5</v>
      </c>
      <c r="V122" s="99">
        <f>U122*(1+$N$99+$Q$15*S122/36500)</f>
        <v>362.85473972602745</v>
      </c>
      <c r="W122" s="32">
        <f t="shared" si="22"/>
        <v>370.11183452054803</v>
      </c>
      <c r="X122" s="32">
        <f t="shared" si="23"/>
        <v>377.36892931506856</v>
      </c>
      <c r="AH122" s="121">
        <v>102</v>
      </c>
      <c r="AI122" s="79" t="s">
        <v>4626</v>
      </c>
      <c r="AJ122" s="79">
        <v>13071612</v>
      </c>
      <c r="AK122" s="121">
        <v>1</v>
      </c>
      <c r="AL122" s="121">
        <f t="shared" si="25"/>
        <v>57</v>
      </c>
      <c r="AM122" s="79">
        <f t="shared" si="26"/>
        <v>745081884</v>
      </c>
      <c r="AN122" s="208" t="s">
        <v>4628</v>
      </c>
    </row>
    <row r="123" spans="6:46">
      <c r="F123" s="216">
        <f>$L$129/G123</f>
        <v>1123.6469322836808</v>
      </c>
      <c r="G123" s="216">
        <f>P60</f>
        <v>4369.7</v>
      </c>
      <c r="H123" s="216" t="s">
        <v>4709</v>
      </c>
      <c r="I123" s="216" t="s">
        <v>4710</v>
      </c>
      <c r="J123" s="32" t="s">
        <v>4538</v>
      </c>
      <c r="K123" s="216">
        <v>21</v>
      </c>
      <c r="L123" s="1">
        <f>K123*$L$129</f>
        <v>103110000</v>
      </c>
      <c r="M123" s="1">
        <f>N60+N26</f>
        <v>93848046.900000006</v>
      </c>
      <c r="N123" s="113">
        <f t="shared" si="24"/>
        <v>9261953.099999994</v>
      </c>
      <c r="Q123" s="169">
        <v>177438</v>
      </c>
      <c r="R123" s="213" t="s">
        <v>4688</v>
      </c>
      <c r="S123" s="213">
        <f t="shared" ref="S123:S126" si="27">S122</f>
        <v>43</v>
      </c>
      <c r="T123" s="213" t="s">
        <v>4695</v>
      </c>
      <c r="U123" s="213">
        <v>207.3</v>
      </c>
      <c r="V123" s="99">
        <f>U123*(1+$N$99+$Q$15*S123/36500)</f>
        <v>216.45982027397264</v>
      </c>
      <c r="W123" s="32">
        <f t="shared" si="22"/>
        <v>220.78901667945209</v>
      </c>
      <c r="X123" s="32">
        <f t="shared" si="23"/>
        <v>225.11821308493154</v>
      </c>
      <c r="Y123" t="s">
        <v>25</v>
      </c>
      <c r="AH123" s="89">
        <v>103</v>
      </c>
      <c r="AI123" s="90" t="s">
        <v>4631</v>
      </c>
      <c r="AJ123" s="90">
        <v>16727037</v>
      </c>
      <c r="AK123" s="89">
        <v>0</v>
      </c>
      <c r="AL123" s="89">
        <f t="shared" si="25"/>
        <v>56</v>
      </c>
      <c r="AM123" s="90">
        <f t="shared" si="26"/>
        <v>936714072</v>
      </c>
      <c r="AN123" s="89" t="s">
        <v>4642</v>
      </c>
    </row>
    <row r="124" spans="6:46">
      <c r="F124" s="200"/>
      <c r="G124" s="200"/>
      <c r="H124" s="232">
        <v>35433</v>
      </c>
      <c r="I124" s="200" t="s">
        <v>4705</v>
      </c>
      <c r="J124" s="217" t="s">
        <v>4616</v>
      </c>
      <c r="K124" s="200">
        <v>2</v>
      </c>
      <c r="L124" s="218">
        <f>K124*$L$129</f>
        <v>9820000</v>
      </c>
      <c r="M124" s="218">
        <f>N62</f>
        <v>4311030</v>
      </c>
      <c r="N124" s="113">
        <f t="shared" si="24"/>
        <v>5508970</v>
      </c>
      <c r="Q124" s="35">
        <v>559461</v>
      </c>
      <c r="R124" s="5" t="s">
        <v>4688</v>
      </c>
      <c r="S124" s="5">
        <f t="shared" si="27"/>
        <v>43</v>
      </c>
      <c r="T124" s="5" t="s">
        <v>4696</v>
      </c>
      <c r="U124" s="213">
        <v>508.1</v>
      </c>
      <c r="V124" s="99">
        <f>U124*(1+$N$99+$Q$15*S124/36500)</f>
        <v>530.55105972602746</v>
      </c>
      <c r="W124" s="32">
        <f t="shared" si="22"/>
        <v>541.16208092054796</v>
      </c>
      <c r="X124" s="32">
        <f t="shared" si="23"/>
        <v>551.77310211506858</v>
      </c>
      <c r="AH124" s="99">
        <v>104</v>
      </c>
      <c r="AI124" s="113" t="s">
        <v>4631</v>
      </c>
      <c r="AJ124" s="113">
        <v>12000000</v>
      </c>
      <c r="AK124" s="99">
        <v>1</v>
      </c>
      <c r="AL124" s="99">
        <f t="shared" si="25"/>
        <v>56</v>
      </c>
      <c r="AM124" s="117">
        <f t="shared" si="26"/>
        <v>672000000</v>
      </c>
      <c r="AN124" s="99" t="s">
        <v>4643</v>
      </c>
      <c r="AQ124" t="s">
        <v>25</v>
      </c>
    </row>
    <row r="125" spans="6:46">
      <c r="F125" s="216"/>
      <c r="G125" s="216"/>
      <c r="H125" s="216" t="s">
        <v>3881</v>
      </c>
      <c r="I125" s="216" t="s">
        <v>4851</v>
      </c>
      <c r="J125" s="32" t="s">
        <v>4296</v>
      </c>
      <c r="K125" s="216">
        <v>4</v>
      </c>
      <c r="L125" s="1">
        <f>K125*$L$129</f>
        <v>19640000</v>
      </c>
      <c r="M125" s="1">
        <f>N63</f>
        <v>2368484.5</v>
      </c>
      <c r="N125" s="113">
        <f t="shared" si="24"/>
        <v>17271515.5</v>
      </c>
      <c r="Q125" s="35">
        <v>9376000</v>
      </c>
      <c r="R125" s="5" t="s">
        <v>4688</v>
      </c>
      <c r="S125" s="5">
        <f>S124</f>
        <v>43</v>
      </c>
      <c r="T125" s="5" t="s">
        <v>4697</v>
      </c>
      <c r="U125" s="213">
        <v>3184.1</v>
      </c>
      <c r="V125" s="99">
        <f>U125*(1+$N$99+$Q$15*S125/36500)</f>
        <v>3324.7936021917812</v>
      </c>
      <c r="W125" s="32">
        <f t="shared" si="22"/>
        <v>3391.289474235617</v>
      </c>
      <c r="X125" s="32">
        <f t="shared" si="23"/>
        <v>3457.7853462794528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25"/>
        <v>55</v>
      </c>
      <c r="AM125" s="90">
        <f t="shared" si="26"/>
        <v>4878371685</v>
      </c>
      <c r="AN125" s="89" t="s">
        <v>4644</v>
      </c>
      <c r="AP125" t="s">
        <v>25</v>
      </c>
    </row>
    <row r="126" spans="6:46">
      <c r="F126" s="200"/>
      <c r="G126" s="200"/>
      <c r="H126" s="200"/>
      <c r="I126" s="200"/>
      <c r="J126" s="217" t="s">
        <v>4673</v>
      </c>
      <c r="K126" s="200">
        <v>1</v>
      </c>
      <c r="L126" s="218">
        <f>K126*$L$129</f>
        <v>4910000</v>
      </c>
      <c r="M126" s="218">
        <f>N53+N56+N65+N64</f>
        <v>3498276</v>
      </c>
      <c r="N126" s="184">
        <f t="shared" si="24"/>
        <v>1411724</v>
      </c>
      <c r="Q126" s="169">
        <v>128675</v>
      </c>
      <c r="R126" s="213" t="s">
        <v>4688</v>
      </c>
      <c r="S126" s="213">
        <f t="shared" si="27"/>
        <v>43</v>
      </c>
      <c r="T126" s="213" t="s">
        <v>4698</v>
      </c>
      <c r="U126" s="213">
        <v>699.9</v>
      </c>
      <c r="V126" s="99">
        <f>U126*(1+$N$99+$Q$15*S126/36500)</f>
        <v>730.82599232876714</v>
      </c>
      <c r="W126" s="32">
        <f t="shared" si="22"/>
        <v>745.44251217534247</v>
      </c>
      <c r="X126" s="32">
        <f t="shared" si="23"/>
        <v>760.0590320219178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54</v>
      </c>
      <c r="AM126" s="117">
        <f t="shared" si="26"/>
        <v>5454000</v>
      </c>
      <c r="AN126" s="99"/>
    </row>
    <row r="127" spans="6:46">
      <c r="F127" s="216"/>
      <c r="G127" s="216"/>
      <c r="H127" s="216"/>
      <c r="I127" s="216"/>
      <c r="J127" s="32" t="s">
        <v>4823</v>
      </c>
      <c r="K127" s="216"/>
      <c r="L127" s="1"/>
      <c r="M127" s="1"/>
      <c r="N127" s="113">
        <v>50000000</v>
      </c>
      <c r="Q127" s="35">
        <v>13100555</v>
      </c>
      <c r="R127" s="5" t="s">
        <v>4711</v>
      </c>
      <c r="S127" s="5">
        <f>S126-1</f>
        <v>42</v>
      </c>
      <c r="T127" s="5" t="s">
        <v>4712</v>
      </c>
      <c r="U127" s="213">
        <v>3180.5</v>
      </c>
      <c r="V127" s="99">
        <f>U127*(1+$N$99+$Q$15*S127/36500)</f>
        <v>3318.5946958904115</v>
      </c>
      <c r="W127" s="32">
        <f t="shared" si="22"/>
        <v>3384.9665898082199</v>
      </c>
      <c r="X127" s="32">
        <f t="shared" si="23"/>
        <v>3451.3384837260282</v>
      </c>
      <c r="AH127" s="149">
        <v>107</v>
      </c>
      <c r="AI127" s="189" t="s">
        <v>4641</v>
      </c>
      <c r="AJ127" s="189">
        <v>-48200</v>
      </c>
      <c r="AK127" s="149">
        <v>0</v>
      </c>
      <c r="AL127" s="149">
        <f t="shared" ref="AL127:AL150" si="28">AL128+AK127</f>
        <v>54</v>
      </c>
      <c r="AM127" s="189">
        <f t="shared" si="26"/>
        <v>-2602800</v>
      </c>
      <c r="AN127" s="149" t="s">
        <v>4652</v>
      </c>
    </row>
    <row r="128" spans="6:46">
      <c r="F128" s="200"/>
      <c r="G128" s="200"/>
      <c r="H128" s="200"/>
      <c r="I128" s="200"/>
      <c r="J128" s="217" t="s">
        <v>4950</v>
      </c>
      <c r="K128" s="200">
        <f>SUM(K118:K126)</f>
        <v>205</v>
      </c>
      <c r="L128" s="218"/>
      <c r="M128" s="218"/>
      <c r="N128" s="184"/>
      <c r="Q128" s="35">
        <v>622942</v>
      </c>
      <c r="R128" s="5" t="s">
        <v>4711</v>
      </c>
      <c r="S128" s="5">
        <f>S127</f>
        <v>42</v>
      </c>
      <c r="T128" s="5" t="s">
        <v>4713</v>
      </c>
      <c r="U128" s="213">
        <v>503.3</v>
      </c>
      <c r="V128" s="99">
        <f>U128*(1+$N$99+$Q$15*S128/36500)</f>
        <v>525.15287232876722</v>
      </c>
      <c r="W128" s="32">
        <f t="shared" si="22"/>
        <v>535.65592977534254</v>
      </c>
      <c r="X128" s="32">
        <f t="shared" si="23"/>
        <v>546.15898722191787</v>
      </c>
      <c r="AH128" s="89">
        <v>108</v>
      </c>
      <c r="AI128" s="90" t="s">
        <v>4641</v>
      </c>
      <c r="AJ128" s="90">
        <v>39327293</v>
      </c>
      <c r="AK128" s="89">
        <v>4</v>
      </c>
      <c r="AL128" s="149">
        <f t="shared" si="28"/>
        <v>54</v>
      </c>
      <c r="AM128" s="189">
        <f t="shared" si="26"/>
        <v>2123673822</v>
      </c>
      <c r="AN128" s="89" t="s">
        <v>4653</v>
      </c>
    </row>
    <row r="129" spans="6:44">
      <c r="F129" s="216"/>
      <c r="G129" s="216"/>
      <c r="H129" s="216" t="s">
        <v>25</v>
      </c>
      <c r="I129" s="216"/>
      <c r="J129" s="32"/>
      <c r="K129" s="216">
        <v>24</v>
      </c>
      <c r="L129" s="39">
        <f>10*P68</f>
        <v>4910000</v>
      </c>
      <c r="M129" s="1">
        <f>K129*L129</f>
        <v>117840000</v>
      </c>
      <c r="N129" s="113">
        <f>SUM(N118:N127)-M129</f>
        <v>33640344.00000003</v>
      </c>
      <c r="P129" s="114"/>
      <c r="Q129" s="35">
        <v>1472140</v>
      </c>
      <c r="R129" s="5" t="s">
        <v>4718</v>
      </c>
      <c r="S129" s="5">
        <f>S128-3</f>
        <v>39</v>
      </c>
      <c r="T129" s="5" t="s">
        <v>4722</v>
      </c>
      <c r="U129" s="168">
        <v>502</v>
      </c>
      <c r="V129" s="99">
        <f>U129*(1+$N$99+$Q$15*S129/36500)</f>
        <v>522.6411397260274</v>
      </c>
      <c r="W129" s="32">
        <f t="shared" si="22"/>
        <v>533.09396252054796</v>
      </c>
      <c r="X129" s="32">
        <f t="shared" si="23"/>
        <v>543.54678531506852</v>
      </c>
      <c r="AH129" s="89">
        <v>109</v>
      </c>
      <c r="AI129" s="90" t="s">
        <v>4668</v>
      </c>
      <c r="AJ129" s="90">
        <v>8749050</v>
      </c>
      <c r="AK129" s="89">
        <v>1</v>
      </c>
      <c r="AL129" s="89">
        <f t="shared" si="28"/>
        <v>50</v>
      </c>
      <c r="AM129" s="90">
        <f t="shared" si="26"/>
        <v>437452500</v>
      </c>
      <c r="AN129" s="89" t="s">
        <v>4672</v>
      </c>
      <c r="AQ129" t="s">
        <v>25</v>
      </c>
    </row>
    <row r="130" spans="6:44">
      <c r="F130" s="200"/>
      <c r="G130" s="200"/>
      <c r="H130" s="200"/>
      <c r="I130" s="200"/>
      <c r="J130" s="217"/>
      <c r="K130" s="200" t="s">
        <v>4815</v>
      </c>
      <c r="L130" s="218" t="s">
        <v>4253</v>
      </c>
      <c r="M130" s="218" t="s">
        <v>4682</v>
      </c>
      <c r="N130" s="184" t="s">
        <v>4683</v>
      </c>
      <c r="Q130" s="35">
        <v>4394591</v>
      </c>
      <c r="R130" s="5" t="s">
        <v>4725</v>
      </c>
      <c r="S130" s="5">
        <f>S129-1</f>
        <v>38</v>
      </c>
      <c r="T130" s="5" t="s">
        <v>4726</v>
      </c>
      <c r="U130" s="168">
        <v>481.7</v>
      </c>
      <c r="V130" s="99">
        <f>U130*(1+$N$99+$Q$15*S130/36500)</f>
        <v>501.13692493150688</v>
      </c>
      <c r="W130" s="32">
        <f t="shared" si="22"/>
        <v>511.15966343013702</v>
      </c>
      <c r="X130" s="32">
        <f t="shared" si="23"/>
        <v>521.18240192876715</v>
      </c>
      <c r="Z130" t="s">
        <v>25</v>
      </c>
      <c r="AH130" s="99">
        <v>110</v>
      </c>
      <c r="AI130" s="113" t="s">
        <v>4674</v>
      </c>
      <c r="AJ130" s="113">
        <v>60000</v>
      </c>
      <c r="AK130" s="99">
        <v>1</v>
      </c>
      <c r="AL130" s="99">
        <f t="shared" si="28"/>
        <v>49</v>
      </c>
      <c r="AM130" s="117">
        <f t="shared" si="26"/>
        <v>2940000</v>
      </c>
      <c r="AN130" s="99" t="s">
        <v>4675</v>
      </c>
    </row>
    <row r="131" spans="6:44">
      <c r="F131" s="216"/>
      <c r="G131" s="216"/>
      <c r="H131" s="216"/>
      <c r="I131" s="216"/>
      <c r="J131" s="32" t="s">
        <v>4691</v>
      </c>
      <c r="K131" s="216"/>
      <c r="L131" s="1"/>
      <c r="M131" s="1"/>
      <c r="N131" s="113"/>
      <c r="Q131" s="117">
        <v>4085110</v>
      </c>
      <c r="R131" s="19" t="s">
        <v>4728</v>
      </c>
      <c r="S131" s="19">
        <f>S130-1</f>
        <v>37</v>
      </c>
      <c r="T131" s="19" t="s">
        <v>4729</v>
      </c>
      <c r="U131" s="216">
        <v>3115.9</v>
      </c>
      <c r="V131" s="99">
        <f>U131*(1+$N$99+$Q$15*S131/36500)</f>
        <v>3239.238419726028</v>
      </c>
      <c r="W131" s="32">
        <f t="shared" si="22"/>
        <v>3304.0231881205486</v>
      </c>
      <c r="X131" s="32">
        <f t="shared" si="23"/>
        <v>3368.8079565150692</v>
      </c>
      <c r="AH131" s="20">
        <v>111</v>
      </c>
      <c r="AI131" s="117" t="s">
        <v>4684</v>
      </c>
      <c r="AJ131" s="117">
        <v>4750000</v>
      </c>
      <c r="AK131" s="20">
        <v>0</v>
      </c>
      <c r="AL131" s="99">
        <f t="shared" si="28"/>
        <v>48</v>
      </c>
      <c r="AM131" s="117">
        <f t="shared" si="26"/>
        <v>228000000</v>
      </c>
      <c r="AN131" s="20"/>
    </row>
    <row r="132" spans="6:44">
      <c r="M132" t="s">
        <v>25</v>
      </c>
      <c r="Q132" s="117">
        <v>205386</v>
      </c>
      <c r="R132" s="19" t="s">
        <v>4730</v>
      </c>
      <c r="S132" s="19">
        <f>S131</f>
        <v>37</v>
      </c>
      <c r="T132" s="19" t="s">
        <v>4731</v>
      </c>
      <c r="U132" s="216">
        <v>178.1</v>
      </c>
      <c r="V132" s="99">
        <f>U132*(1+$N$99+$Q$15*S132/36500)</f>
        <v>185.14983232876716</v>
      </c>
      <c r="W132" s="32">
        <f t="shared" si="22"/>
        <v>188.8528289753425</v>
      </c>
      <c r="X132" s="32">
        <f t="shared" si="23"/>
        <v>192.55582562191785</v>
      </c>
      <c r="AH132" s="89">
        <v>112</v>
      </c>
      <c r="AI132" s="90" t="s">
        <v>4684</v>
      </c>
      <c r="AJ132" s="90">
        <v>13101160</v>
      </c>
      <c r="AK132" s="89">
        <v>1</v>
      </c>
      <c r="AL132" s="89">
        <f t="shared" si="28"/>
        <v>48</v>
      </c>
      <c r="AM132" s="90">
        <f t="shared" si="26"/>
        <v>628855680</v>
      </c>
      <c r="AN132" s="89" t="s">
        <v>4689</v>
      </c>
      <c r="AQ132" t="s">
        <v>25</v>
      </c>
    </row>
    <row r="133" spans="6:44">
      <c r="P133" s="114"/>
      <c r="Q133" s="117">
        <v>8398607</v>
      </c>
      <c r="R133" s="19" t="s">
        <v>4741</v>
      </c>
      <c r="S133" s="19">
        <f>S132-8</f>
        <v>29</v>
      </c>
      <c r="T133" s="19" t="s">
        <v>4743</v>
      </c>
      <c r="U133" s="216">
        <v>3120.5</v>
      </c>
      <c r="V133" s="99">
        <f>U133*(1+$N$99+$Q$15*S133/36500)</f>
        <v>3224.8700383561645</v>
      </c>
      <c r="W133" s="32">
        <f t="shared" si="22"/>
        <v>3289.367439123288</v>
      </c>
      <c r="X133" s="32">
        <f t="shared" si="23"/>
        <v>3353.8648398904111</v>
      </c>
      <c r="AH133" s="20">
        <v>113</v>
      </c>
      <c r="AI133" s="117" t="s">
        <v>4688</v>
      </c>
      <c r="AJ133" s="117">
        <v>-980000</v>
      </c>
      <c r="AK133" s="20">
        <v>0</v>
      </c>
      <c r="AL133" s="99">
        <f t="shared" si="28"/>
        <v>47</v>
      </c>
      <c r="AM133" s="117">
        <f t="shared" si="26"/>
        <v>-46060000</v>
      </c>
      <c r="AN133" s="20"/>
    </row>
    <row r="134" spans="6:44">
      <c r="F134" s="216"/>
      <c r="G134" s="216"/>
      <c r="H134" s="216"/>
      <c r="I134" s="216"/>
      <c r="J134" s="216" t="s">
        <v>4817</v>
      </c>
      <c r="K134" s="168" t="s">
        <v>4541</v>
      </c>
      <c r="L134" s="168" t="s">
        <v>4542</v>
      </c>
      <c r="M134" s="168" t="s">
        <v>4436</v>
      </c>
      <c r="N134" s="56" t="s">
        <v>190</v>
      </c>
      <c r="Q134" s="117">
        <v>18565999</v>
      </c>
      <c r="R134" s="19" t="s">
        <v>4744</v>
      </c>
      <c r="S134" s="19">
        <f>S133-1</f>
        <v>28</v>
      </c>
      <c r="T134" s="19" t="s">
        <v>4752</v>
      </c>
      <c r="U134" s="216">
        <v>3112.4</v>
      </c>
      <c r="V134" s="99">
        <f>U134*(1+$N$99+$Q$15*S134/36500)</f>
        <v>3214.1115265753429</v>
      </c>
      <c r="W134" s="32">
        <f t="shared" si="22"/>
        <v>3278.39375710685</v>
      </c>
      <c r="X134" s="32">
        <f t="shared" si="23"/>
        <v>3342.6759876383567</v>
      </c>
      <c r="AH134" s="89">
        <v>114</v>
      </c>
      <c r="AI134" s="90" t="s">
        <v>4688</v>
      </c>
      <c r="AJ134" s="90">
        <v>13301790</v>
      </c>
      <c r="AK134" s="89">
        <v>0</v>
      </c>
      <c r="AL134" s="89">
        <f t="shared" si="28"/>
        <v>47</v>
      </c>
      <c r="AM134" s="90">
        <f t="shared" si="26"/>
        <v>625184130</v>
      </c>
      <c r="AN134" s="89" t="s">
        <v>4689</v>
      </c>
    </row>
    <row r="135" spans="6:44">
      <c r="F135" s="216" t="s">
        <v>4363</v>
      </c>
      <c r="G135" s="216" t="s">
        <v>941</v>
      </c>
      <c r="H135" s="216" t="s">
        <v>4541</v>
      </c>
      <c r="I135" s="216" t="s">
        <v>937</v>
      </c>
      <c r="J135" s="216" t="s">
        <v>4818</v>
      </c>
      <c r="K135" s="168" t="s">
        <v>4243</v>
      </c>
      <c r="L135" s="169">
        <v>1100000</v>
      </c>
      <c r="M135" s="169">
        <v>1637000</v>
      </c>
      <c r="N135" s="168">
        <f t="shared" ref="N135:N143" si="29">(M135-L135)*100/L135</f>
        <v>48.81818181818182</v>
      </c>
      <c r="Q135" s="117">
        <v>5924703</v>
      </c>
      <c r="R135" s="19" t="s">
        <v>4755</v>
      </c>
      <c r="S135" s="19">
        <f>S134-3</f>
        <v>25</v>
      </c>
      <c r="T135" s="19" t="s">
        <v>4854</v>
      </c>
      <c r="U135" s="216">
        <v>489</v>
      </c>
      <c r="V135" s="99">
        <f>U135*(1+$N$99+$Q$15*S135/36500)</f>
        <v>503.85488219178086</v>
      </c>
      <c r="W135" s="32">
        <f t="shared" si="22"/>
        <v>513.93197983561652</v>
      </c>
      <c r="X135" s="32">
        <f t="shared" si="23"/>
        <v>524.00907747945212</v>
      </c>
      <c r="Y135" t="s">
        <v>25</v>
      </c>
      <c r="AH135" s="20">
        <v>115</v>
      </c>
      <c r="AI135" s="117" t="s">
        <v>4688</v>
      </c>
      <c r="AJ135" s="117">
        <v>404000</v>
      </c>
      <c r="AK135" s="20">
        <v>5</v>
      </c>
      <c r="AL135" s="99">
        <f t="shared" si="28"/>
        <v>47</v>
      </c>
      <c r="AM135" s="117">
        <f t="shared" si="26"/>
        <v>18988000</v>
      </c>
      <c r="AN135" s="20" t="s">
        <v>4700</v>
      </c>
    </row>
    <row r="136" spans="6:44">
      <c r="F136" s="216">
        <v>3307.5</v>
      </c>
      <c r="G136" s="216">
        <f>P52</f>
        <v>3617.7</v>
      </c>
      <c r="H136" s="216" t="s">
        <v>4391</v>
      </c>
      <c r="I136" s="216">
        <v>3761</v>
      </c>
      <c r="J136" s="1">
        <f>I136*G136</f>
        <v>13606169.699999999</v>
      </c>
      <c r="K136" s="5" t="s">
        <v>4536</v>
      </c>
      <c r="L136" s="169">
        <v>1100000</v>
      </c>
      <c r="M136" s="169">
        <v>4748000</v>
      </c>
      <c r="N136" s="168">
        <f t="shared" si="29"/>
        <v>331.63636363636363</v>
      </c>
      <c r="Q136" s="117">
        <v>164801</v>
      </c>
      <c r="R136" s="19" t="s">
        <v>4768</v>
      </c>
      <c r="S136" s="19">
        <f>S135-2</f>
        <v>23</v>
      </c>
      <c r="T136" s="19" t="s">
        <v>4773</v>
      </c>
      <c r="U136" s="216">
        <v>3095.1</v>
      </c>
      <c r="V136" s="99">
        <f>U136*(1+$N$99+$Q$15*S136/36500)</f>
        <v>3184.3745556164386</v>
      </c>
      <c r="W136" s="32">
        <f t="shared" si="22"/>
        <v>3248.0620467287672</v>
      </c>
      <c r="X136" s="32">
        <f t="shared" si="23"/>
        <v>3311.7495378410963</v>
      </c>
      <c r="Y136" t="s">
        <v>25</v>
      </c>
      <c r="AH136" s="89">
        <v>116</v>
      </c>
      <c r="AI136" s="90" t="s">
        <v>4725</v>
      </c>
      <c r="AJ136" s="90">
        <v>4291628</v>
      </c>
      <c r="AK136" s="89">
        <v>2</v>
      </c>
      <c r="AL136" s="89">
        <f t="shared" si="28"/>
        <v>42</v>
      </c>
      <c r="AM136" s="90">
        <f t="shared" si="26"/>
        <v>180248376</v>
      </c>
      <c r="AN136" s="89" t="s">
        <v>4727</v>
      </c>
    </row>
    <row r="137" spans="6:44">
      <c r="F137" s="216">
        <v>5249.5</v>
      </c>
      <c r="G137" s="216">
        <f>P57</f>
        <v>6138.1</v>
      </c>
      <c r="H137" s="216" t="s">
        <v>4395</v>
      </c>
      <c r="I137" s="216">
        <v>7163</v>
      </c>
      <c r="J137" s="1">
        <f>I137*G137</f>
        <v>43967210.300000004</v>
      </c>
      <c r="K137" s="5" t="s">
        <v>4537</v>
      </c>
      <c r="L137" s="169">
        <v>1100000</v>
      </c>
      <c r="M137" s="169">
        <v>5137000</v>
      </c>
      <c r="N137" s="168">
        <f t="shared" si="29"/>
        <v>367</v>
      </c>
      <c r="Q137" s="117">
        <v>223613</v>
      </c>
      <c r="R137" s="19" t="s">
        <v>4768</v>
      </c>
      <c r="S137" s="19">
        <f>S136</f>
        <v>23</v>
      </c>
      <c r="T137" s="19" t="s">
        <v>4774</v>
      </c>
      <c r="U137" s="216">
        <v>4637.1000000000004</v>
      </c>
      <c r="V137" s="99">
        <f>U137*(1+$N$99+$Q$15*S137/36500)</f>
        <v>4770.851750136987</v>
      </c>
      <c r="W137" s="32">
        <f t="shared" si="22"/>
        <v>4866.2687851397268</v>
      </c>
      <c r="X137" s="32">
        <f t="shared" si="23"/>
        <v>4961.6858201424666</v>
      </c>
      <c r="Y137" t="s">
        <v>25</v>
      </c>
      <c r="Z137" t="s">
        <v>25</v>
      </c>
      <c r="AH137" s="20">
        <v>117</v>
      </c>
      <c r="AI137" s="117" t="s">
        <v>4732</v>
      </c>
      <c r="AJ137" s="117">
        <v>1000</v>
      </c>
      <c r="AK137" s="20">
        <v>5</v>
      </c>
      <c r="AL137" s="20">
        <f t="shared" si="28"/>
        <v>40</v>
      </c>
      <c r="AM137" s="117">
        <f t="shared" si="26"/>
        <v>40000</v>
      </c>
      <c r="AN137" s="20"/>
      <c r="AQ137" t="s">
        <v>25</v>
      </c>
    </row>
    <row r="138" spans="6:44">
      <c r="F138" s="216">
        <v>519.79999999999995</v>
      </c>
      <c r="G138" s="216">
        <f>P59</f>
        <v>611.29999999999995</v>
      </c>
      <c r="H138" s="216" t="s">
        <v>4410</v>
      </c>
      <c r="I138" s="216">
        <v>0</v>
      </c>
      <c r="J138" s="1">
        <f>I138*G138</f>
        <v>0</v>
      </c>
      <c r="K138" s="19" t="s">
        <v>4391</v>
      </c>
      <c r="L138" s="169">
        <v>1100000</v>
      </c>
      <c r="M138" s="169">
        <v>4300000</v>
      </c>
      <c r="N138" s="168">
        <f t="shared" si="29"/>
        <v>290.90909090909093</v>
      </c>
      <c r="P138" s="114"/>
      <c r="Q138" s="117">
        <v>989631</v>
      </c>
      <c r="R138" s="19" t="s">
        <v>4768</v>
      </c>
      <c r="S138" s="19">
        <f>S137</f>
        <v>23</v>
      </c>
      <c r="T138" s="19" t="s">
        <v>4775</v>
      </c>
      <c r="U138" s="216">
        <v>3863</v>
      </c>
      <c r="V138" s="99">
        <f>U138*(1+$N$99+$Q$15*S138/36500)</f>
        <v>3974.4237369863017</v>
      </c>
      <c r="W138" s="32">
        <f t="shared" si="22"/>
        <v>4053.9122117260276</v>
      </c>
      <c r="X138" s="32">
        <f t="shared" si="23"/>
        <v>4133.400686465754</v>
      </c>
      <c r="Y138" t="s">
        <v>25</v>
      </c>
      <c r="AH138" s="121">
        <v>118</v>
      </c>
      <c r="AI138" s="79" t="s">
        <v>4740</v>
      </c>
      <c r="AJ138" s="79">
        <v>8739459</v>
      </c>
      <c r="AK138" s="121">
        <v>2</v>
      </c>
      <c r="AL138" s="121">
        <f t="shared" si="28"/>
        <v>35</v>
      </c>
      <c r="AM138" s="79">
        <f t="shared" si="26"/>
        <v>305881065</v>
      </c>
      <c r="AN138" s="121" t="s">
        <v>4672</v>
      </c>
    </row>
    <row r="139" spans="6:44">
      <c r="F139" s="216">
        <v>4051</v>
      </c>
      <c r="G139" s="216">
        <f>P60</f>
        <v>4369.7</v>
      </c>
      <c r="H139" s="216" t="s">
        <v>4538</v>
      </c>
      <c r="I139" s="216">
        <v>130</v>
      </c>
      <c r="J139" s="1">
        <f>I139*G139</f>
        <v>568061</v>
      </c>
      <c r="K139" s="5" t="s">
        <v>4410</v>
      </c>
      <c r="L139" s="169">
        <v>1100000</v>
      </c>
      <c r="M139" s="169">
        <v>3191000</v>
      </c>
      <c r="N139" s="168">
        <f t="shared" si="29"/>
        <v>190.09090909090909</v>
      </c>
      <c r="Q139" s="117">
        <v>5001091</v>
      </c>
      <c r="R139" s="19" t="s">
        <v>4778</v>
      </c>
      <c r="S139" s="19">
        <f>S138-1</f>
        <v>22</v>
      </c>
      <c r="T139" s="19" t="s">
        <v>4779</v>
      </c>
      <c r="U139" s="216">
        <v>3125</v>
      </c>
      <c r="V139" s="99">
        <f>U139*(1+$N$99+$Q$15*S139/36500)</f>
        <v>3212.7397260273979</v>
      </c>
      <c r="W139" s="32">
        <f t="shared" si="22"/>
        <v>3276.9945205479457</v>
      </c>
      <c r="X139" s="32">
        <f t="shared" si="23"/>
        <v>3341.2493150684941</v>
      </c>
      <c r="AH139" s="121">
        <v>119</v>
      </c>
      <c r="AI139" s="79" t="s">
        <v>4741</v>
      </c>
      <c r="AJ139" s="79">
        <v>17595278</v>
      </c>
      <c r="AK139" s="121">
        <v>1</v>
      </c>
      <c r="AL139" s="121">
        <f t="shared" si="28"/>
        <v>33</v>
      </c>
      <c r="AM139" s="79">
        <f t="shared" si="26"/>
        <v>580644174</v>
      </c>
      <c r="AN139" s="121" t="s">
        <v>4745</v>
      </c>
    </row>
    <row r="140" spans="6:44">
      <c r="F140" s="216"/>
      <c r="G140" s="216"/>
      <c r="H140" s="216"/>
      <c r="I140" s="216"/>
      <c r="J140" s="1">
        <f>SUM(J136:J139)</f>
        <v>58141441</v>
      </c>
      <c r="K140" s="5" t="s">
        <v>4538</v>
      </c>
      <c r="L140" s="169">
        <v>1100000</v>
      </c>
      <c r="M140" s="169">
        <v>5623000</v>
      </c>
      <c r="N140" s="168">
        <f t="shared" si="29"/>
        <v>411.18181818181819</v>
      </c>
      <c r="Q140" s="117">
        <v>12497226</v>
      </c>
      <c r="R140" s="19" t="s">
        <v>4816</v>
      </c>
      <c r="S140" s="19">
        <f>S139-7</f>
        <v>15</v>
      </c>
      <c r="T140" s="19" t="s">
        <v>4820</v>
      </c>
      <c r="U140" s="216">
        <v>3307.5</v>
      </c>
      <c r="V140" s="99">
        <f>U140*(1+$N$99+$Q$15*S140/36500)</f>
        <v>3382.6029041095894</v>
      </c>
      <c r="W140" s="32">
        <f t="shared" si="22"/>
        <v>3450.2549621917815</v>
      </c>
      <c r="X140" s="32">
        <f t="shared" si="23"/>
        <v>3517.9070202739731</v>
      </c>
      <c r="AH140" s="121">
        <v>120</v>
      </c>
      <c r="AI140" s="79" t="s">
        <v>4744</v>
      </c>
      <c r="AJ140" s="79">
        <v>13335309</v>
      </c>
      <c r="AK140" s="121">
        <v>13</v>
      </c>
      <c r="AL140" s="121">
        <f t="shared" si="28"/>
        <v>32</v>
      </c>
      <c r="AM140" s="79">
        <f t="shared" si="26"/>
        <v>426729888</v>
      </c>
      <c r="AN140" s="121" t="s">
        <v>4689</v>
      </c>
    </row>
    <row r="141" spans="6:44">
      <c r="F141" s="216"/>
      <c r="G141" s="216"/>
      <c r="H141" s="216"/>
      <c r="I141" s="216"/>
      <c r="J141" s="216" t="s">
        <v>6</v>
      </c>
      <c r="K141" s="19" t="s">
        <v>4395</v>
      </c>
      <c r="L141" s="169">
        <v>1100000</v>
      </c>
      <c r="M141" s="169">
        <v>7728000</v>
      </c>
      <c r="N141" s="168">
        <f t="shared" si="29"/>
        <v>602.5454545454545</v>
      </c>
      <c r="Q141" s="117">
        <v>24695044</v>
      </c>
      <c r="R141" s="19" t="s">
        <v>4816</v>
      </c>
      <c r="S141" s="19">
        <f>S140</f>
        <v>15</v>
      </c>
      <c r="T141" s="19" t="s">
        <v>4821</v>
      </c>
      <c r="U141" s="216">
        <v>5249.5</v>
      </c>
      <c r="V141" s="99">
        <f>U141*(1+$N$99+$Q$15*S141/36500)</f>
        <v>5368.6996054794527</v>
      </c>
      <c r="W141" s="32">
        <f t="shared" si="22"/>
        <v>5476.073597589042</v>
      </c>
      <c r="X141" s="32">
        <f t="shared" si="23"/>
        <v>5583.4475896986305</v>
      </c>
      <c r="AA141" t="s">
        <v>25</v>
      </c>
      <c r="AH141" s="161">
        <v>121</v>
      </c>
      <c r="AI141" s="231" t="s">
        <v>4816</v>
      </c>
      <c r="AJ141" s="231">
        <v>50000000</v>
      </c>
      <c r="AK141" s="161">
        <v>11</v>
      </c>
      <c r="AL141" s="161">
        <f t="shared" si="28"/>
        <v>19</v>
      </c>
      <c r="AM141" s="231">
        <f t="shared" si="26"/>
        <v>950000000</v>
      </c>
      <c r="AN141" s="161" t="s">
        <v>4819</v>
      </c>
      <c r="AP141" t="s">
        <v>25</v>
      </c>
    </row>
    <row r="142" spans="6:44">
      <c r="K142" s="5" t="s">
        <v>4540</v>
      </c>
      <c r="L142" s="169">
        <v>1100000</v>
      </c>
      <c r="M142" s="169">
        <v>2904000</v>
      </c>
      <c r="N142" s="168">
        <f t="shared" si="29"/>
        <v>164</v>
      </c>
      <c r="Q142" s="117">
        <v>529210</v>
      </c>
      <c r="R142" s="19" t="s">
        <v>4816</v>
      </c>
      <c r="S142" s="19">
        <f>S141</f>
        <v>15</v>
      </c>
      <c r="T142" s="19" t="s">
        <v>4822</v>
      </c>
      <c r="U142" s="216">
        <v>4051</v>
      </c>
      <c r="V142" s="99">
        <f>U142*(1+$N$99+$Q$15*S142/36500)</f>
        <v>4142.9854465753433</v>
      </c>
      <c r="W142" s="32">
        <f t="shared" si="22"/>
        <v>4225.8451555068505</v>
      </c>
      <c r="X142" s="32">
        <f t="shared" si="23"/>
        <v>4308.7048644383576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28"/>
        <v>8</v>
      </c>
      <c r="AM142" s="117">
        <f t="shared" si="26"/>
        <v>240000</v>
      </c>
      <c r="AN142" s="20"/>
    </row>
    <row r="143" spans="6:44">
      <c r="K143" s="56" t="s">
        <v>1086</v>
      </c>
      <c r="L143" s="169">
        <v>1100000</v>
      </c>
      <c r="M143" s="169">
        <v>3400000</v>
      </c>
      <c r="N143" s="168">
        <f t="shared" si="29"/>
        <v>209.09090909090909</v>
      </c>
      <c r="P143" s="114"/>
      <c r="Q143" s="117">
        <v>5416530</v>
      </c>
      <c r="R143" s="19" t="s">
        <v>4828</v>
      </c>
      <c r="S143" s="19">
        <f>S142-1</f>
        <v>14</v>
      </c>
      <c r="T143" s="19" t="s">
        <v>4890</v>
      </c>
      <c r="U143" s="216">
        <v>5235</v>
      </c>
      <c r="V143" s="99">
        <f>U143*(1+$N$99+$Q$15*S143/36500)</f>
        <v>5349.8544657534258</v>
      </c>
      <c r="W143" s="32">
        <f t="shared" si="22"/>
        <v>5456.8515550684942</v>
      </c>
      <c r="X143" s="32">
        <f t="shared" si="23"/>
        <v>5563.8486443835627</v>
      </c>
      <c r="AH143" s="20">
        <v>123</v>
      </c>
      <c r="AI143" s="117" t="s">
        <v>4896</v>
      </c>
      <c r="AJ143" s="117">
        <v>600000</v>
      </c>
      <c r="AK143" s="20">
        <v>1</v>
      </c>
      <c r="AL143" s="20">
        <f t="shared" si="28"/>
        <v>5</v>
      </c>
      <c r="AM143" s="117">
        <f t="shared" si="26"/>
        <v>3000000</v>
      </c>
      <c r="AN143" s="20"/>
      <c r="AR143" t="s">
        <v>25</v>
      </c>
    </row>
    <row r="144" spans="6:44">
      <c r="K144" s="206" t="s">
        <v>4569</v>
      </c>
      <c r="Q144" s="117">
        <v>153812</v>
      </c>
      <c r="R144" s="19" t="s">
        <v>4860</v>
      </c>
      <c r="S144" s="19">
        <f>S143-6</f>
        <v>8</v>
      </c>
      <c r="T144" s="19" t="s">
        <v>4861</v>
      </c>
      <c r="U144" s="216">
        <v>537.20000000000005</v>
      </c>
      <c r="V144" s="99">
        <f>U144*(1+$N$99+$Q$15*S144/36500)</f>
        <v>546.51342904109595</v>
      </c>
      <c r="W144" s="32">
        <f t="shared" si="22"/>
        <v>557.44369762191786</v>
      </c>
      <c r="X144" s="32">
        <f t="shared" si="23"/>
        <v>568.37396620273978</v>
      </c>
      <c r="AH144" s="20">
        <v>124</v>
      </c>
      <c r="AI144" s="117" t="s">
        <v>4905</v>
      </c>
      <c r="AJ144" s="117">
        <v>30000</v>
      </c>
      <c r="AK144" s="20">
        <v>3</v>
      </c>
      <c r="AL144" s="20">
        <f>AL148+AK144</f>
        <v>4</v>
      </c>
      <c r="AM144" s="117">
        <f t="shared" si="26"/>
        <v>120000</v>
      </c>
      <c r="AN144" s="20"/>
    </row>
    <row r="145" spans="6:44">
      <c r="K145" s="206" t="s">
        <v>4570</v>
      </c>
      <c r="Q145" s="117">
        <v>1837912</v>
      </c>
      <c r="R145" s="19" t="s">
        <v>4864</v>
      </c>
      <c r="S145" s="19">
        <f>S144-1</f>
        <v>7</v>
      </c>
      <c r="T145" s="19" t="s">
        <v>4865</v>
      </c>
      <c r="U145" s="216">
        <v>296.60000000000002</v>
      </c>
      <c r="V145" s="99">
        <f>U145*(1+$N$99+$Q$15*S145/36500)</f>
        <v>301.51462136986311</v>
      </c>
      <c r="W145" s="32">
        <f t="shared" si="22"/>
        <v>307.54491379726039</v>
      </c>
      <c r="X145" s="32">
        <f t="shared" si="23"/>
        <v>313.57520622465762</v>
      </c>
      <c r="AH145" s="20">
        <v>125</v>
      </c>
      <c r="AI145" s="117" t="s">
        <v>4915</v>
      </c>
      <c r="AJ145" s="117">
        <v>2250000</v>
      </c>
      <c r="AK145" s="20">
        <v>1</v>
      </c>
      <c r="AL145" s="20">
        <f t="shared" ref="AL145:AL149" si="30">AL149+AK145</f>
        <v>1</v>
      </c>
      <c r="AM145" s="117">
        <f t="shared" ref="AM145:AM149" si="31">AJ145*AL145</f>
        <v>2250000</v>
      </c>
      <c r="AN145" s="20"/>
    </row>
    <row r="146" spans="6:44">
      <c r="K146" s="206" t="s">
        <v>4571</v>
      </c>
      <c r="Q146" s="117">
        <v>104025</v>
      </c>
      <c r="R146" s="19" t="s">
        <v>974</v>
      </c>
      <c r="S146" s="19">
        <f>S145-3</f>
        <v>4</v>
      </c>
      <c r="T146" s="19" t="s">
        <v>4883</v>
      </c>
      <c r="U146" s="216">
        <v>295</v>
      </c>
      <c r="V146" s="99">
        <f>U146*(1+$N$99+$Q$15*S146/36500)</f>
        <v>299.20920547945212</v>
      </c>
      <c r="W146" s="32">
        <f t="shared" si="22"/>
        <v>305.19338958904115</v>
      </c>
      <c r="X146" s="32">
        <f t="shared" si="23"/>
        <v>311.17757369863023</v>
      </c>
      <c r="AH146" s="23">
        <v>126</v>
      </c>
      <c r="AI146" s="35" t="s">
        <v>4924</v>
      </c>
      <c r="AJ146" s="35">
        <v>-31412200</v>
      </c>
      <c r="AK146" s="23">
        <v>1</v>
      </c>
      <c r="AL146" s="23">
        <f t="shared" si="30"/>
        <v>1</v>
      </c>
      <c r="AM146" s="35">
        <f t="shared" si="31"/>
        <v>-31412200</v>
      </c>
      <c r="AN146" s="23" t="s">
        <v>4899</v>
      </c>
    </row>
    <row r="147" spans="6:44">
      <c r="Q147" s="117">
        <v>10926171</v>
      </c>
      <c r="R147" s="19" t="s">
        <v>4893</v>
      </c>
      <c r="S147" s="19">
        <f>S146-2</f>
        <v>2</v>
      </c>
      <c r="T147" s="19" t="s">
        <v>4895</v>
      </c>
      <c r="U147" s="216">
        <v>5355.4</v>
      </c>
      <c r="V147" s="99">
        <f>U147*(1+$N$99+$Q$15*S147/36500)</f>
        <v>5423.5969841095894</v>
      </c>
      <c r="W147" s="32">
        <f t="shared" si="22"/>
        <v>5532.0689237917813</v>
      </c>
      <c r="X147" s="32">
        <f t="shared" si="23"/>
        <v>5640.5408634739733</v>
      </c>
      <c r="Y147" s="96"/>
      <c r="Z147" s="96"/>
      <c r="AH147" s="20">
        <v>127</v>
      </c>
      <c r="AI147" s="117" t="s">
        <v>4935</v>
      </c>
      <c r="AJ147" s="117">
        <v>70000</v>
      </c>
      <c r="AK147" s="20">
        <v>9</v>
      </c>
      <c r="AL147" s="20">
        <f t="shared" si="30"/>
        <v>9</v>
      </c>
      <c r="AM147" s="117">
        <f t="shared" si="31"/>
        <v>630000</v>
      </c>
      <c r="AN147" s="20"/>
    </row>
    <row r="148" spans="6:44">
      <c r="F148" t="s">
        <v>4900</v>
      </c>
      <c r="G148">
        <v>1200</v>
      </c>
      <c r="H148" t="s">
        <v>4901</v>
      </c>
      <c r="Q148" s="117">
        <v>146418</v>
      </c>
      <c r="R148" s="19" t="s">
        <v>4896</v>
      </c>
      <c r="S148" s="19">
        <f>S147-1</f>
        <v>1</v>
      </c>
      <c r="T148" s="19" t="s">
        <v>4897</v>
      </c>
      <c r="U148" s="216">
        <v>304.89999999999998</v>
      </c>
      <c r="V148" s="99">
        <f>U148*(1+$N$99+$Q$15*S148/36500)</f>
        <v>308.54877589041092</v>
      </c>
      <c r="W148" s="32">
        <f t="shared" si="22"/>
        <v>314.71975140821917</v>
      </c>
      <c r="X148" s="32">
        <f t="shared" si="23"/>
        <v>320.89072692602736</v>
      </c>
      <c r="Y148" s="96"/>
      <c r="Z148" s="96"/>
      <c r="AH148" s="99">
        <v>128</v>
      </c>
      <c r="AI148" s="113" t="s">
        <v>4951</v>
      </c>
      <c r="AJ148" s="113">
        <v>20000</v>
      </c>
      <c r="AK148" s="99">
        <v>1</v>
      </c>
      <c r="AL148" s="20">
        <f t="shared" si="30"/>
        <v>1</v>
      </c>
      <c r="AM148" s="117">
        <f t="shared" si="31"/>
        <v>20000</v>
      </c>
      <c r="AN148" s="20"/>
      <c r="AR148" t="s">
        <v>25</v>
      </c>
    </row>
    <row r="149" spans="6:44">
      <c r="G149">
        <v>1350</v>
      </c>
      <c r="H149" t="s">
        <v>4902</v>
      </c>
      <c r="Q149" s="117">
        <v>441599</v>
      </c>
      <c r="R149" s="19" t="s">
        <v>4905</v>
      </c>
      <c r="S149" s="19">
        <f>S148-1</f>
        <v>0</v>
      </c>
      <c r="T149" s="19" t="s">
        <v>4908</v>
      </c>
      <c r="U149" s="216">
        <v>220</v>
      </c>
      <c r="V149" s="99">
        <f>U149*(1+$N$99+$Q$15*S149/36500)</f>
        <v>222.46400000000003</v>
      </c>
      <c r="W149" s="32">
        <f t="shared" si="22"/>
        <v>226.91328000000004</v>
      </c>
      <c r="X149" s="32">
        <f t="shared" si="23"/>
        <v>231.36256000000003</v>
      </c>
      <c r="Y149" s="96"/>
      <c r="Z149" s="96"/>
      <c r="AH149" s="99"/>
      <c r="AI149" s="113"/>
      <c r="AJ149" s="113"/>
      <c r="AK149" s="99"/>
      <c r="AL149" s="20">
        <f t="shared" si="30"/>
        <v>0</v>
      </c>
      <c r="AM149" s="117">
        <f t="shared" si="31"/>
        <v>0</v>
      </c>
      <c r="AN149" s="20"/>
    </row>
    <row r="150" spans="6:44">
      <c r="G150">
        <v>1050</v>
      </c>
      <c r="H150" t="s">
        <v>4903</v>
      </c>
      <c r="Q150" s="169">
        <v>62110</v>
      </c>
      <c r="R150" s="168" t="s">
        <v>4915</v>
      </c>
      <c r="S150" s="168">
        <f>S149-3</f>
        <v>-3</v>
      </c>
      <c r="T150" s="168" t="s">
        <v>4920</v>
      </c>
      <c r="U150" s="168">
        <v>270</v>
      </c>
      <c r="V150" s="99">
        <f>U150*(1+$N$99+$Q$15*S150/36500)</f>
        <v>272.40263013698632</v>
      </c>
      <c r="W150" s="32">
        <f t="shared" si="22"/>
        <v>277.85068273972604</v>
      </c>
      <c r="X150" s="32">
        <f t="shared" si="23"/>
        <v>283.29873534246576</v>
      </c>
      <c r="Y150" s="96"/>
      <c r="Z150" s="96"/>
      <c r="AA150" s="114"/>
      <c r="AC150" s="114"/>
      <c r="AD150" s="114"/>
      <c r="AH150" s="99"/>
      <c r="AI150" s="113"/>
      <c r="AJ150" s="113"/>
      <c r="AK150" s="99"/>
      <c r="AL150" s="99">
        <f t="shared" si="28"/>
        <v>0</v>
      </c>
      <c r="AM150" s="117">
        <f t="shared" si="26"/>
        <v>0</v>
      </c>
      <c r="AN150" s="99"/>
      <c r="AP150" t="s">
        <v>25</v>
      </c>
    </row>
    <row r="151" spans="6:44">
      <c r="Q151" s="169">
        <v>101344</v>
      </c>
      <c r="R151" s="216" t="s">
        <v>4924</v>
      </c>
      <c r="S151" s="216">
        <f>S150-1</f>
        <v>-4</v>
      </c>
      <c r="T151" s="216" t="s">
        <v>4927</v>
      </c>
      <c r="U151" s="216">
        <v>113.6</v>
      </c>
      <c r="V151" s="99">
        <f>U151*(1+$N$99+$Q$15*S151/36500)</f>
        <v>114.52373917808218</v>
      </c>
      <c r="W151" s="32">
        <f t="shared" si="22"/>
        <v>116.81421396164383</v>
      </c>
      <c r="X151" s="32">
        <f t="shared" si="23"/>
        <v>119.10468874520548</v>
      </c>
      <c r="Y151" s="96"/>
      <c r="Z151" s="96"/>
      <c r="AA151" s="114"/>
      <c r="AC151" s="114"/>
      <c r="AH151" s="99"/>
      <c r="AI151" s="99"/>
      <c r="AJ151" s="95">
        <f>SUM(AJ20:AJ150)</f>
        <v>510913886</v>
      </c>
      <c r="AK151" s="99"/>
      <c r="AL151" s="99"/>
      <c r="AM151" s="95">
        <f>SUM(AM20:AM150)</f>
        <v>59850017343</v>
      </c>
      <c r="AN151" s="95">
        <f>AM151*AN154/31</f>
        <v>32178072.227605842</v>
      </c>
    </row>
    <row r="152" spans="6:44">
      <c r="Q152" s="169">
        <v>2148718</v>
      </c>
      <c r="R152" s="216" t="s">
        <v>4924</v>
      </c>
      <c r="S152" s="216">
        <f>S151</f>
        <v>-4</v>
      </c>
      <c r="T152" s="216" t="s">
        <v>4928</v>
      </c>
      <c r="U152" s="216">
        <v>3400.3</v>
      </c>
      <c r="V152" s="99">
        <f>U152*(1+$N$99+$Q$15*S152/36500)</f>
        <v>3427.9495627397264</v>
      </c>
      <c r="W152" s="32">
        <f t="shared" si="22"/>
        <v>3496.5085539945208</v>
      </c>
      <c r="X152" s="32">
        <f t="shared" si="23"/>
        <v>3565.0675452493156</v>
      </c>
      <c r="Y152" s="96"/>
      <c r="Z152" s="96"/>
      <c r="AA152" s="114"/>
      <c r="AC152" s="114"/>
      <c r="AD152" s="114"/>
      <c r="AH152" s="99"/>
      <c r="AI152" s="99"/>
      <c r="AJ152" s="99" t="s">
        <v>4059</v>
      </c>
      <c r="AK152" s="99"/>
      <c r="AL152" s="99"/>
      <c r="AM152" s="99" t="s">
        <v>284</v>
      </c>
      <c r="AN152" s="99" t="s">
        <v>943</v>
      </c>
    </row>
    <row r="153" spans="6:44">
      <c r="Q153" s="169">
        <v>48217</v>
      </c>
      <c r="R153" s="216" t="s">
        <v>4935</v>
      </c>
      <c r="S153" s="216">
        <f>S152-1</f>
        <v>-5</v>
      </c>
      <c r="T153" s="216" t="s">
        <v>4942</v>
      </c>
      <c r="U153" s="216">
        <v>400</v>
      </c>
      <c r="V153" s="99">
        <f>U153*(1+$N$99+$Q$15*S153/36500)</f>
        <v>402.9457534246576</v>
      </c>
      <c r="W153" s="32">
        <f t="shared" si="22"/>
        <v>411.00466849315075</v>
      </c>
      <c r="X153" s="32">
        <f t="shared" si="23"/>
        <v>419.0635835616439</v>
      </c>
      <c r="Y153" s="96"/>
      <c r="Z153" s="96"/>
      <c r="AH153" s="99"/>
      <c r="AI153" s="99"/>
      <c r="AJ153" s="99"/>
      <c r="AK153" s="99"/>
      <c r="AL153" s="99"/>
      <c r="AM153" s="99"/>
      <c r="AN153" s="99"/>
    </row>
    <row r="154" spans="6:44">
      <c r="Q154" s="169">
        <v>119669</v>
      </c>
      <c r="R154" s="216" t="s">
        <v>981</v>
      </c>
      <c r="S154" s="216">
        <f>S153-1</f>
        <v>-6</v>
      </c>
      <c r="T154" s="216" t="s">
        <v>4946</v>
      </c>
      <c r="U154" s="216">
        <v>3609.6</v>
      </c>
      <c r="V154" s="99">
        <f>U154*(1+$N$99+$Q$15*S154/36500)</f>
        <v>3633.4134706849322</v>
      </c>
      <c r="W154" s="32">
        <f t="shared" si="22"/>
        <v>3706.0817400986311</v>
      </c>
      <c r="X154" s="32">
        <f t="shared" si="23"/>
        <v>3778.7500095123296</v>
      </c>
      <c r="Y154" s="96"/>
      <c r="Z154" s="96"/>
      <c r="AH154" s="99"/>
      <c r="AI154" s="99"/>
      <c r="AJ154" s="99"/>
      <c r="AK154" s="99"/>
      <c r="AL154" s="99"/>
      <c r="AM154" s="99" t="s">
        <v>4060</v>
      </c>
      <c r="AN154" s="99">
        <v>1.6667000000000001E-2</v>
      </c>
    </row>
    <row r="155" spans="6:44">
      <c r="Q155" s="169">
        <v>102362</v>
      </c>
      <c r="R155" s="216" t="s">
        <v>4951</v>
      </c>
      <c r="S155" s="216">
        <f>S154-8</f>
        <v>-14</v>
      </c>
      <c r="T155" s="216" t="s">
        <v>4954</v>
      </c>
      <c r="U155" s="216">
        <v>4430</v>
      </c>
      <c r="V155" s="99">
        <f>U155*(1+$N$99+$Q$15*S155/36500)</f>
        <v>4432.0390136986298</v>
      </c>
      <c r="W155" s="32">
        <f t="shared" si="22"/>
        <v>4520.6797939726021</v>
      </c>
      <c r="X155" s="32">
        <f t="shared" si="23"/>
        <v>4609.3205742465752</v>
      </c>
      <c r="Y155" s="96"/>
      <c r="Z155" s="96"/>
      <c r="AH155" s="99"/>
      <c r="AI155" s="99"/>
      <c r="AJ155" s="99"/>
      <c r="AK155" s="99"/>
      <c r="AL155" s="99"/>
      <c r="AM155" s="99"/>
      <c r="AN155" s="99"/>
    </row>
    <row r="156" spans="6:44">
      <c r="Q156" s="169"/>
      <c r="R156" s="168"/>
      <c r="S156" s="168"/>
      <c r="T156" s="168"/>
      <c r="U156" s="168"/>
      <c r="V156" s="99">
        <f>U156*(1+$N$99+$Q$15*S156/36500)</f>
        <v>0</v>
      </c>
      <c r="W156" s="32">
        <f t="shared" si="22"/>
        <v>0</v>
      </c>
      <c r="X156" s="32">
        <f t="shared" si="23"/>
        <v>0</v>
      </c>
      <c r="Y156" s="96"/>
      <c r="Z156" s="96"/>
      <c r="AH156" s="99"/>
      <c r="AI156" s="99" t="s">
        <v>4061</v>
      </c>
      <c r="AJ156" s="95">
        <f>AJ151+AN151</f>
        <v>543091958.22760582</v>
      </c>
      <c r="AK156" s="99"/>
      <c r="AL156" s="99"/>
      <c r="AM156" s="99"/>
      <c r="AN156" s="99"/>
    </row>
    <row r="157" spans="6:44">
      <c r="Q157" s="113">
        <f>SUM(N52:N68)-SUM(Q84:Q156)</f>
        <v>39715703.999999881</v>
      </c>
      <c r="R157" s="112"/>
      <c r="S157" s="112"/>
      <c r="T157" s="112"/>
      <c r="U157" s="168"/>
      <c r="V157" s="99" t="s">
        <v>25</v>
      </c>
      <c r="W157" s="32"/>
      <c r="X157" s="32"/>
      <c r="Y157" s="96"/>
      <c r="Z157" s="96"/>
      <c r="AI157" t="s">
        <v>4064</v>
      </c>
      <c r="AJ157" s="114">
        <f>SUM(N50:N68)</f>
        <v>614369220.99999988</v>
      </c>
    </row>
    <row r="158" spans="6:44">
      <c r="Q158" s="26"/>
      <c r="R158" s="181"/>
      <c r="S158" s="181"/>
      <c r="T158" t="s">
        <v>25</v>
      </c>
      <c r="U158" s="96" t="s">
        <v>25</v>
      </c>
      <c r="V158" s="96" t="s">
        <v>25</v>
      </c>
      <c r="W158" s="96" t="s">
        <v>25</v>
      </c>
      <c r="Y158" s="96"/>
      <c r="Z158" s="96"/>
      <c r="AI158" t="s">
        <v>4136</v>
      </c>
      <c r="AJ158" s="114">
        <f>AJ157-AJ151</f>
        <v>103455334.99999988</v>
      </c>
      <c r="AM158" t="s">
        <v>25</v>
      </c>
    </row>
    <row r="159" spans="6:44">
      <c r="R159" s="32" t="s">
        <v>4573</v>
      </c>
      <c r="S159" s="32" t="s">
        <v>950</v>
      </c>
      <c r="T159" t="s">
        <v>25</v>
      </c>
      <c r="U159" s="96" t="s">
        <v>25</v>
      </c>
      <c r="V159" s="96" t="s">
        <v>25</v>
      </c>
      <c r="W159" s="96" t="s">
        <v>25</v>
      </c>
      <c r="X159" s="122" t="s">
        <v>25</v>
      </c>
      <c r="Y159" s="96"/>
      <c r="Z159" s="96"/>
      <c r="AI159" t="s">
        <v>943</v>
      </c>
      <c r="AJ159" s="114">
        <f>AN151</f>
        <v>32178072.227605842</v>
      </c>
    </row>
    <row r="160" spans="6:44">
      <c r="R160" s="32">
        <v>2480</v>
      </c>
      <c r="S160" s="238">
        <v>13041741</v>
      </c>
      <c r="U160" s="96" t="s">
        <v>25</v>
      </c>
      <c r="V160" s="122" t="s">
        <v>25</v>
      </c>
      <c r="X160" t="s">
        <v>25</v>
      </c>
      <c r="AI160" t="s">
        <v>4065</v>
      </c>
      <c r="AJ160" s="114">
        <f>AJ157-AJ156</f>
        <v>71277262.772394061</v>
      </c>
      <c r="AN160" t="s">
        <v>25</v>
      </c>
    </row>
    <row r="161" spans="16:40">
      <c r="P161" s="114"/>
      <c r="Q161" t="s">
        <v>25</v>
      </c>
      <c r="R161" s="32">
        <v>1450</v>
      </c>
      <c r="S161" s="1">
        <f>S160*R161/R160</f>
        <v>7625211.4717741935</v>
      </c>
      <c r="U161" s="96" t="s">
        <v>25</v>
      </c>
      <c r="V161" s="122" t="s">
        <v>25</v>
      </c>
      <c r="W161" s="96" t="s">
        <v>25</v>
      </c>
      <c r="X161" t="s">
        <v>25</v>
      </c>
      <c r="AM161" t="s">
        <v>25</v>
      </c>
    </row>
    <row r="162" spans="16:40">
      <c r="R162" s="32">
        <f>R160-R161</f>
        <v>1030</v>
      </c>
      <c r="S162" s="1">
        <f>R162*S160/R160</f>
        <v>5416529.5282258065</v>
      </c>
      <c r="V162" s="96"/>
      <c r="W162"/>
      <c r="X162" t="s">
        <v>25</v>
      </c>
      <c r="AJ162" t="s">
        <v>25</v>
      </c>
    </row>
    <row r="163" spans="16:40">
      <c r="V163" s="96"/>
      <c r="W163"/>
    </row>
    <row r="164" spans="16:40">
      <c r="Q164" s="99" t="s">
        <v>4463</v>
      </c>
      <c r="R164" s="99" t="s">
        <v>4465</v>
      </c>
      <c r="S164" s="99"/>
      <c r="T164" s="99" t="s">
        <v>4466</v>
      </c>
      <c r="U164" s="99"/>
      <c r="V164" s="99"/>
      <c r="W164" s="99" t="s">
        <v>4576</v>
      </c>
    </row>
    <row r="165" spans="16:40">
      <c r="P165">
        <f>R168+3137</f>
        <v>1513743</v>
      </c>
      <c r="Q165" s="113">
        <v>1000</v>
      </c>
      <c r="R165" s="99">
        <v>0.25</v>
      </c>
      <c r="S165" s="99"/>
      <c r="T165" s="99">
        <f>1-R165</f>
        <v>0.75</v>
      </c>
      <c r="U165" s="99"/>
      <c r="V165" s="99"/>
      <c r="W165" s="99"/>
    </row>
    <row r="166" spans="16:40">
      <c r="P166" s="114"/>
      <c r="Q166" s="168" t="s">
        <v>4450</v>
      </c>
      <c r="R166" s="168" t="s">
        <v>4468</v>
      </c>
      <c r="S166" s="168" t="s">
        <v>4470</v>
      </c>
      <c r="T166" s="168" t="s">
        <v>180</v>
      </c>
      <c r="U166" s="168" t="s">
        <v>4464</v>
      </c>
      <c r="V166" s="56" t="s">
        <v>4467</v>
      </c>
      <c r="W166" s="99"/>
      <c r="X166" s="115"/>
    </row>
    <row r="167" spans="16:40">
      <c r="Q167" s="168" t="s">
        <v>751</v>
      </c>
      <c r="R167" s="56">
        <v>1653572</v>
      </c>
      <c r="S167" s="113">
        <f>R167*$T$243</f>
        <v>475302733.06458402</v>
      </c>
      <c r="T167" s="168" t="s">
        <v>4462</v>
      </c>
      <c r="U167" s="168">
        <f>$Q$165*$T$165*S167/$R$191</f>
        <v>386.13423949695215</v>
      </c>
      <c r="V167" s="95">
        <f>S167+U167</f>
        <v>475303119.19882351</v>
      </c>
      <c r="W167" s="99">
        <f>R167*100/U240</f>
        <v>51.48456526626029</v>
      </c>
      <c r="X167" s="220"/>
      <c r="AH167" s="99" t="s">
        <v>3641</v>
      </c>
      <c r="AI167" s="99" t="s">
        <v>180</v>
      </c>
      <c r="AJ167" s="99" t="s">
        <v>267</v>
      </c>
      <c r="AK167" s="99" t="s">
        <v>4058</v>
      </c>
      <c r="AL167" s="99" t="s">
        <v>4050</v>
      </c>
      <c r="AM167" s="99" t="s">
        <v>282</v>
      </c>
      <c r="AN167" s="99" t="s">
        <v>4293</v>
      </c>
    </row>
    <row r="168" spans="16:40">
      <c r="Q168" s="168" t="s">
        <v>4452</v>
      </c>
      <c r="R168" s="56">
        <v>1510606</v>
      </c>
      <c r="S168" s="113">
        <f>R168*$T$243</f>
        <v>434208586.25071001</v>
      </c>
      <c r="T168" s="168" t="s">
        <v>4462</v>
      </c>
      <c r="U168" s="168">
        <f>$Q$165*$T$165*S168/$R$191+Q165*R165</f>
        <v>602.7495016785075</v>
      </c>
      <c r="V168" s="95">
        <f>S168+U168</f>
        <v>434209189.00021172</v>
      </c>
      <c r="W168" s="99">
        <f>R168*100/U240</f>
        <v>47.033266890467658</v>
      </c>
      <c r="X168" s="115"/>
      <c r="AH168" s="99">
        <v>1</v>
      </c>
      <c r="AI168" s="99" t="s">
        <v>3949</v>
      </c>
      <c r="AJ168" s="117">
        <v>3555820</v>
      </c>
      <c r="AK168" s="99">
        <v>2</v>
      </c>
      <c r="AL168" s="99">
        <f>AK168+AL169</f>
        <v>251</v>
      </c>
      <c r="AM168" s="99">
        <f>AJ168*AL168</f>
        <v>892510820</v>
      </c>
      <c r="AN168" s="99" t="s">
        <v>4313</v>
      </c>
    </row>
    <row r="169" spans="16:40">
      <c r="P169" s="114"/>
      <c r="Q169" s="168" t="s">
        <v>4451</v>
      </c>
      <c r="R169" s="56">
        <v>47604</v>
      </c>
      <c r="S169" s="113">
        <f>R169*$T$243</f>
        <v>13683293.684705872</v>
      </c>
      <c r="T169" s="168" t="s">
        <v>4462</v>
      </c>
      <c r="U169" s="168">
        <f>$Q$165*$T$165*S169/$R$191</f>
        <v>11.116258824540395</v>
      </c>
      <c r="V169" s="95">
        <f>S169+U169</f>
        <v>13683304.800964696</v>
      </c>
      <c r="W169" s="99">
        <f>R169*100/U240</f>
        <v>1.4821678432720526</v>
      </c>
      <c r="X169" s="115"/>
      <c r="AH169" s="99">
        <v>2</v>
      </c>
      <c r="AI169" s="99" t="s">
        <v>4024</v>
      </c>
      <c r="AJ169" s="117">
        <v>1720837</v>
      </c>
      <c r="AK169" s="99">
        <v>51</v>
      </c>
      <c r="AL169" s="99">
        <f t="shared" ref="AL169:AL178" si="32">AK169+AL170</f>
        <v>249</v>
      </c>
      <c r="AM169" s="99">
        <f t="shared" ref="AM169:AM197" si="33">AJ169*AL169</f>
        <v>428488413</v>
      </c>
      <c r="AN169" s="99" t="s">
        <v>4314</v>
      </c>
    </row>
    <row r="170" spans="16:40">
      <c r="P170" s="114"/>
      <c r="Q170" s="168"/>
      <c r="R170" s="56"/>
      <c r="S170" s="168"/>
      <c r="T170" s="168"/>
      <c r="U170" s="168"/>
      <c r="V170" s="99"/>
      <c r="W170" s="99"/>
      <c r="X170" s="115"/>
      <c r="AH170" s="99">
        <v>3</v>
      </c>
      <c r="AI170" s="99" t="s">
        <v>4130</v>
      </c>
      <c r="AJ170" s="117">
        <v>150000</v>
      </c>
      <c r="AK170" s="99">
        <v>3</v>
      </c>
      <c r="AL170" s="99">
        <f t="shared" si="32"/>
        <v>198</v>
      </c>
      <c r="AM170" s="99">
        <f t="shared" si="33"/>
        <v>29700000</v>
      </c>
      <c r="AN170" s="99"/>
    </row>
    <row r="171" spans="16:40">
      <c r="Q171" s="168"/>
      <c r="R171" s="56"/>
      <c r="S171" s="168"/>
      <c r="T171" s="168"/>
      <c r="U171" s="168"/>
      <c r="V171" s="168"/>
      <c r="W171" s="99"/>
      <c r="X171" s="96"/>
      <c r="AH171" s="99">
        <v>4</v>
      </c>
      <c r="AI171" s="99" t="s">
        <v>4145</v>
      </c>
      <c r="AJ171" s="117">
        <v>-95000</v>
      </c>
      <c r="AK171" s="99">
        <v>8</v>
      </c>
      <c r="AL171" s="99">
        <f t="shared" si="32"/>
        <v>195</v>
      </c>
      <c r="AM171" s="99">
        <f t="shared" si="33"/>
        <v>-18525000</v>
      </c>
      <c r="AN171" s="99"/>
    </row>
    <row r="172" spans="16:40">
      <c r="Q172" s="168"/>
      <c r="R172" s="168"/>
      <c r="S172" s="168"/>
      <c r="T172" s="168"/>
      <c r="U172" s="168"/>
      <c r="V172" s="168"/>
      <c r="W172" s="99"/>
      <c r="X172" s="96"/>
      <c r="AH172" s="99">
        <v>5</v>
      </c>
      <c r="AI172" s="99" t="s">
        <v>4172</v>
      </c>
      <c r="AJ172" s="117">
        <v>3150000</v>
      </c>
      <c r="AK172" s="99">
        <v>16</v>
      </c>
      <c r="AL172" s="99">
        <f t="shared" si="32"/>
        <v>187</v>
      </c>
      <c r="AM172" s="99">
        <f t="shared" si="33"/>
        <v>589050000</v>
      </c>
      <c r="AN172" s="99"/>
    </row>
    <row r="173" spans="16:40">
      <c r="Q173" s="99"/>
      <c r="R173" s="99"/>
      <c r="S173" s="99"/>
      <c r="T173" s="99" t="s">
        <v>25</v>
      </c>
      <c r="U173" s="99"/>
      <c r="V173" s="99"/>
      <c r="W173" s="99"/>
      <c r="X173" s="96"/>
      <c r="AH173" s="99">
        <v>6</v>
      </c>
      <c r="AI173" s="99" t="s">
        <v>4241</v>
      </c>
      <c r="AJ173" s="117">
        <v>-65000</v>
      </c>
      <c r="AK173" s="99">
        <v>1</v>
      </c>
      <c r="AL173" s="99">
        <f t="shared" si="32"/>
        <v>171</v>
      </c>
      <c r="AM173" s="99">
        <f t="shared" si="33"/>
        <v>-11115000</v>
      </c>
      <c r="AN173" s="99"/>
    </row>
    <row r="174" spans="16:40">
      <c r="Q174" s="99"/>
      <c r="R174" s="99"/>
      <c r="S174" s="99"/>
      <c r="T174" s="99"/>
      <c r="U174" s="99"/>
      <c r="V174" s="99"/>
      <c r="W174" s="99"/>
      <c r="X174" s="96"/>
      <c r="AH174" s="99">
        <v>7</v>
      </c>
      <c r="AI174" s="99" t="s">
        <v>4315</v>
      </c>
      <c r="AJ174" s="117">
        <v>-95000</v>
      </c>
      <c r="AK174" s="99">
        <v>6</v>
      </c>
      <c r="AL174" s="99">
        <f t="shared" si="32"/>
        <v>170</v>
      </c>
      <c r="AM174" s="99">
        <f t="shared" si="33"/>
        <v>-16150000</v>
      </c>
      <c r="AN174" s="99"/>
    </row>
    <row r="175" spans="16:40">
      <c r="P175" s="114"/>
      <c r="Q175" s="99"/>
      <c r="R175" s="99"/>
      <c r="S175" s="99"/>
      <c r="T175" s="99"/>
      <c r="U175" s="99"/>
      <c r="V175" s="99"/>
      <c r="W175" s="99"/>
      <c r="X175" s="96"/>
      <c r="Y175" t="s">
        <v>25</v>
      </c>
      <c r="AH175" s="99">
        <v>8</v>
      </c>
      <c r="AI175" s="99" t="s">
        <v>4316</v>
      </c>
      <c r="AJ175" s="117">
        <v>232000</v>
      </c>
      <c r="AK175" s="99">
        <v>7</v>
      </c>
      <c r="AL175" s="99">
        <f t="shared" si="32"/>
        <v>164</v>
      </c>
      <c r="AM175" s="99">
        <f t="shared" si="33"/>
        <v>38048000</v>
      </c>
      <c r="AN175" s="99"/>
    </row>
    <row r="176" spans="16:40">
      <c r="P176" s="114"/>
      <c r="Q176" s="96"/>
      <c r="R176" s="96"/>
      <c r="S176" s="96"/>
      <c r="T176" s="96"/>
      <c r="V176" s="96"/>
      <c r="X176" s="115"/>
      <c r="AH176" s="99">
        <v>9</v>
      </c>
      <c r="AI176" s="99" t="s">
        <v>4292</v>
      </c>
      <c r="AJ176" s="117">
        <v>13000000</v>
      </c>
      <c r="AK176" s="99">
        <v>2</v>
      </c>
      <c r="AL176" s="99">
        <f t="shared" si="32"/>
        <v>157</v>
      </c>
      <c r="AM176" s="99">
        <f t="shared" si="33"/>
        <v>2041000000</v>
      </c>
      <c r="AN176" s="99"/>
    </row>
    <row r="177" spans="16:44">
      <c r="Q177" s="96"/>
      <c r="R177" s="96"/>
      <c r="S177" s="96"/>
      <c r="T177" s="96"/>
      <c r="V177" s="96"/>
      <c r="AH177" s="99">
        <v>10</v>
      </c>
      <c r="AI177" s="99" t="s">
        <v>4317</v>
      </c>
      <c r="AJ177" s="117">
        <v>10000000</v>
      </c>
      <c r="AK177" s="99">
        <v>3</v>
      </c>
      <c r="AL177" s="99">
        <f t="shared" si="32"/>
        <v>155</v>
      </c>
      <c r="AM177" s="99">
        <f t="shared" si="33"/>
        <v>1550000000</v>
      </c>
      <c r="AN177" s="99"/>
    </row>
    <row r="178" spans="16:44">
      <c r="Q178" s="96"/>
      <c r="R178" s="96"/>
      <c r="S178" s="96"/>
      <c r="T178" s="96" t="s">
        <v>25</v>
      </c>
      <c r="V178" s="96"/>
      <c r="AH178" s="99">
        <v>11</v>
      </c>
      <c r="AI178" s="99" t="s">
        <v>4305</v>
      </c>
      <c r="AJ178" s="117">
        <v>3400000</v>
      </c>
      <c r="AK178" s="99">
        <v>9</v>
      </c>
      <c r="AL178" s="99">
        <f t="shared" si="32"/>
        <v>152</v>
      </c>
      <c r="AM178" s="99">
        <f t="shared" si="33"/>
        <v>516800000</v>
      </c>
      <c r="AN178" s="99"/>
    </row>
    <row r="179" spans="16:44">
      <c r="Q179" s="96"/>
      <c r="R179" s="96"/>
      <c r="S179" s="96"/>
      <c r="T179" s="96"/>
      <c r="V179" s="96"/>
      <c r="AH179" s="99">
        <v>12</v>
      </c>
      <c r="AI179" s="99" t="s">
        <v>4347</v>
      </c>
      <c r="AJ179" s="117">
        <v>-8736514</v>
      </c>
      <c r="AK179" s="99">
        <v>1</v>
      </c>
      <c r="AL179" s="99">
        <f>AK179+AL180</f>
        <v>143</v>
      </c>
      <c r="AM179" s="99">
        <f t="shared" si="33"/>
        <v>-1249321502</v>
      </c>
      <c r="AN179" s="99"/>
    </row>
    <row r="180" spans="16:44">
      <c r="P180" s="114"/>
      <c r="Q180" s="96"/>
      <c r="R180" s="96"/>
      <c r="S180" s="96"/>
      <c r="T180" s="99" t="s">
        <v>180</v>
      </c>
      <c r="U180" s="99" t="s">
        <v>4486</v>
      </c>
      <c r="V180" s="99" t="s">
        <v>4487</v>
      </c>
      <c r="W180" s="99" t="s">
        <v>4497</v>
      </c>
      <c r="X180" s="99" t="s">
        <v>8</v>
      </c>
      <c r="AH180" s="99">
        <v>13</v>
      </c>
      <c r="AI180" s="99" t="s">
        <v>4348</v>
      </c>
      <c r="AJ180" s="117">
        <v>555000</v>
      </c>
      <c r="AK180" s="99">
        <v>5</v>
      </c>
      <c r="AL180" s="99">
        <f t="shared" ref="AL180:AL196" si="34">AK180+AL181</f>
        <v>142</v>
      </c>
      <c r="AM180" s="99">
        <f t="shared" si="33"/>
        <v>78810000</v>
      </c>
      <c r="AN180" s="99"/>
    </row>
    <row r="181" spans="16:44">
      <c r="Q181" s="36" t="s">
        <v>4572</v>
      </c>
      <c r="R181" s="95">
        <f>SUM(N52:N68)</f>
        <v>614367885.99999988</v>
      </c>
      <c r="T181" s="113" t="s">
        <v>4462</v>
      </c>
      <c r="U181" s="56">
        <v>1000000</v>
      </c>
      <c r="V181" s="113">
        <v>239.024</v>
      </c>
      <c r="W181" s="113">
        <f t="shared" ref="W181:W236" si="35">U181*V181</f>
        <v>239024000</v>
      </c>
      <c r="X181" s="99"/>
      <c r="AH181" s="99">
        <v>14</v>
      </c>
      <c r="AI181" s="99" t="s">
        <v>4372</v>
      </c>
      <c r="AJ181" s="117">
        <v>-448308</v>
      </c>
      <c r="AK181" s="99">
        <v>6</v>
      </c>
      <c r="AL181" s="99">
        <f t="shared" si="34"/>
        <v>137</v>
      </c>
      <c r="AM181" s="99">
        <f t="shared" si="33"/>
        <v>-61418196</v>
      </c>
      <c r="AN181" s="99"/>
    </row>
    <row r="182" spans="16:44">
      <c r="P182" s="114"/>
      <c r="Q182" s="99" t="s">
        <v>4453</v>
      </c>
      <c r="R182" s="95">
        <f>SUM(N21:N29)</f>
        <v>303557827.59999996</v>
      </c>
      <c r="T182" s="168" t="s">
        <v>4444</v>
      </c>
      <c r="U182" s="56">
        <v>5904</v>
      </c>
      <c r="V182" s="113">
        <v>237.148</v>
      </c>
      <c r="W182" s="113">
        <f t="shared" si="35"/>
        <v>1400121.7919999999</v>
      </c>
      <c r="X182" s="99" t="s">
        <v>751</v>
      </c>
      <c r="AH182" s="99">
        <v>15</v>
      </c>
      <c r="AI182" s="99" t="s">
        <v>4404</v>
      </c>
      <c r="AJ182" s="117">
        <v>33225</v>
      </c>
      <c r="AK182" s="99">
        <v>0</v>
      </c>
      <c r="AL182" s="99">
        <f t="shared" si="34"/>
        <v>131</v>
      </c>
      <c r="AM182" s="99">
        <f t="shared" si="33"/>
        <v>4352475</v>
      </c>
      <c r="AN182" s="99"/>
      <c r="AR182" t="s">
        <v>25</v>
      </c>
    </row>
    <row r="183" spans="16:44">
      <c r="P183" s="114"/>
      <c r="Q183" s="99" t="s">
        <v>4454</v>
      </c>
      <c r="R183" s="95">
        <f>SUM(N32:N39)</f>
        <v>5071694.4000000004</v>
      </c>
      <c r="T183" s="168" t="s">
        <v>4232</v>
      </c>
      <c r="U183" s="168">
        <v>1000</v>
      </c>
      <c r="V183" s="113">
        <v>247.393</v>
      </c>
      <c r="W183" s="113">
        <f t="shared" si="35"/>
        <v>247393</v>
      </c>
      <c r="X183" s="99" t="s">
        <v>751</v>
      </c>
      <c r="AH183" s="149">
        <v>16</v>
      </c>
      <c r="AI183" s="149" t="s">
        <v>4404</v>
      </c>
      <c r="AJ183" s="189">
        <v>4098523</v>
      </c>
      <c r="AK183" s="149">
        <v>2</v>
      </c>
      <c r="AL183" s="149">
        <f t="shared" si="34"/>
        <v>131</v>
      </c>
      <c r="AM183" s="149">
        <f t="shared" si="33"/>
        <v>536906513</v>
      </c>
      <c r="AN183" s="149" t="s">
        <v>657</v>
      </c>
    </row>
    <row r="184" spans="16:44">
      <c r="Q184" s="99" t="s">
        <v>4455</v>
      </c>
      <c r="R184" s="95">
        <f>N50</f>
        <v>1335</v>
      </c>
      <c r="T184" s="168" t="s">
        <v>4498</v>
      </c>
      <c r="U184" s="168">
        <v>8071</v>
      </c>
      <c r="V184" s="113">
        <v>247.797</v>
      </c>
      <c r="W184" s="113">
        <f t="shared" si="35"/>
        <v>1999969.5870000001</v>
      </c>
      <c r="X184" s="99" t="s">
        <v>4451</v>
      </c>
      <c r="AH184" s="149">
        <v>17</v>
      </c>
      <c r="AI184" s="149" t="s">
        <v>4417</v>
      </c>
      <c r="AJ184" s="189">
        <v>-1000000</v>
      </c>
      <c r="AK184" s="149">
        <v>7</v>
      </c>
      <c r="AL184" s="149">
        <f t="shared" si="34"/>
        <v>129</v>
      </c>
      <c r="AM184" s="149">
        <f t="shared" si="33"/>
        <v>-129000000</v>
      </c>
      <c r="AN184" s="149" t="s">
        <v>657</v>
      </c>
    </row>
    <row r="185" spans="16:44">
      <c r="Q185" s="99" t="s">
        <v>4456</v>
      </c>
      <c r="R185" s="95">
        <f>N20</f>
        <v>1513</v>
      </c>
      <c r="T185" s="168" t="s">
        <v>4498</v>
      </c>
      <c r="U185" s="168">
        <v>53672</v>
      </c>
      <c r="V185" s="113">
        <v>247.797</v>
      </c>
      <c r="W185" s="113">
        <f t="shared" si="35"/>
        <v>13299760.584000001</v>
      </c>
      <c r="X185" s="99" t="s">
        <v>452</v>
      </c>
      <c r="Y185" t="s">
        <v>25</v>
      </c>
      <c r="AH185" s="149">
        <v>18</v>
      </c>
      <c r="AI185" s="149" t="s">
        <v>4440</v>
      </c>
      <c r="AJ185" s="189">
        <v>750000</v>
      </c>
      <c r="AK185" s="149">
        <v>1</v>
      </c>
      <c r="AL185" s="149">
        <f t="shared" si="34"/>
        <v>122</v>
      </c>
      <c r="AM185" s="149">
        <f t="shared" si="33"/>
        <v>91500000</v>
      </c>
      <c r="AN185" s="149" t="s">
        <v>657</v>
      </c>
    </row>
    <row r="186" spans="16:44">
      <c r="Q186" s="99" t="s">
        <v>4457</v>
      </c>
      <c r="R186" s="95">
        <f>N31</f>
        <v>3082</v>
      </c>
      <c r="T186" s="168" t="s">
        <v>4506</v>
      </c>
      <c r="U186" s="168">
        <v>4099</v>
      </c>
      <c r="V186" s="113">
        <v>243.93</v>
      </c>
      <c r="W186" s="113">
        <f t="shared" si="35"/>
        <v>999869.07000000007</v>
      </c>
      <c r="X186" s="99" t="s">
        <v>4451</v>
      </c>
      <c r="AH186" s="196">
        <v>19</v>
      </c>
      <c r="AI186" s="196" t="s">
        <v>4442</v>
      </c>
      <c r="AJ186" s="197">
        <v>-604152</v>
      </c>
      <c r="AK186" s="196">
        <v>0</v>
      </c>
      <c r="AL186" s="196">
        <f t="shared" si="34"/>
        <v>121</v>
      </c>
      <c r="AM186" s="196">
        <f t="shared" si="33"/>
        <v>-73102392</v>
      </c>
      <c r="AN186" s="196" t="s">
        <v>657</v>
      </c>
    </row>
    <row r="187" spans="16:44">
      <c r="Q187" s="99" t="s">
        <v>4469</v>
      </c>
      <c r="R187" s="95">
        <v>0</v>
      </c>
      <c r="T187" s="168" t="s">
        <v>4506</v>
      </c>
      <c r="U187" s="168">
        <v>9301</v>
      </c>
      <c r="V187" s="113">
        <v>243.93</v>
      </c>
      <c r="W187" s="113">
        <f t="shared" si="35"/>
        <v>2268792.9300000002</v>
      </c>
      <c r="X187" s="99" t="s">
        <v>452</v>
      </c>
      <c r="Z187" t="s">
        <v>25</v>
      </c>
      <c r="AH187" s="99">
        <v>20</v>
      </c>
      <c r="AI187" s="99" t="s">
        <v>4443</v>
      </c>
      <c r="AJ187" s="117">
        <v>-587083</v>
      </c>
      <c r="AK187" s="99">
        <v>4</v>
      </c>
      <c r="AL187" s="99">
        <f t="shared" si="34"/>
        <v>121</v>
      </c>
      <c r="AM187" s="99">
        <f t="shared" si="33"/>
        <v>-71037043</v>
      </c>
      <c r="AN187" s="99"/>
    </row>
    <row r="188" spans="16:44">
      <c r="Q188" s="99" t="s">
        <v>4904</v>
      </c>
      <c r="R188" s="95">
        <v>0</v>
      </c>
      <c r="T188" s="168" t="s">
        <v>4512</v>
      </c>
      <c r="U188" s="168">
        <v>8334</v>
      </c>
      <c r="V188" s="113">
        <v>239.97</v>
      </c>
      <c r="W188" s="113">
        <f t="shared" si="35"/>
        <v>1999909.98</v>
      </c>
      <c r="X188" s="99" t="s">
        <v>4451</v>
      </c>
      <c r="AH188" s="196">
        <v>21</v>
      </c>
      <c r="AI188" s="196" t="s">
        <v>4444</v>
      </c>
      <c r="AJ188" s="197">
        <v>-754351</v>
      </c>
      <c r="AK188" s="196">
        <v>0</v>
      </c>
      <c r="AL188" s="149">
        <f t="shared" si="34"/>
        <v>117</v>
      </c>
      <c r="AM188" s="196">
        <f t="shared" si="33"/>
        <v>-88259067</v>
      </c>
      <c r="AN188" s="196" t="s">
        <v>657</v>
      </c>
    </row>
    <row r="189" spans="16:44">
      <c r="Q189" s="99" t="s">
        <v>4948</v>
      </c>
      <c r="R189" s="95">
        <v>200000</v>
      </c>
      <c r="T189" s="168" t="s">
        <v>4231</v>
      </c>
      <c r="U189" s="168">
        <v>29041</v>
      </c>
      <c r="V189" s="113">
        <v>233.45</v>
      </c>
      <c r="W189" s="113">
        <f t="shared" si="35"/>
        <v>6779621.4499999993</v>
      </c>
      <c r="X189" s="99" t="s">
        <v>751</v>
      </c>
      <c r="AH189" s="99">
        <v>22</v>
      </c>
      <c r="AI189" s="99" t="s">
        <v>4444</v>
      </c>
      <c r="AJ189" s="117">
        <v>-189619</v>
      </c>
      <c r="AK189" s="99">
        <v>15</v>
      </c>
      <c r="AL189" s="99">
        <f t="shared" si="34"/>
        <v>117</v>
      </c>
      <c r="AM189" s="99">
        <f t="shared" si="33"/>
        <v>-22185423</v>
      </c>
      <c r="AN189" s="99"/>
    </row>
    <row r="190" spans="16:44">
      <c r="P190" s="114"/>
      <c r="Q190" s="99" t="s">
        <v>4721</v>
      </c>
      <c r="R190" s="95">
        <v>-8725</v>
      </c>
      <c r="S190" s="115"/>
      <c r="T190" s="168" t="s">
        <v>994</v>
      </c>
      <c r="U190" s="168">
        <v>12337</v>
      </c>
      <c r="V190" s="113">
        <v>243.16300000000001</v>
      </c>
      <c r="W190" s="113">
        <f t="shared" si="35"/>
        <v>2999901.9310000003</v>
      </c>
      <c r="X190" s="99" t="s">
        <v>4451</v>
      </c>
      <c r="AH190" s="196">
        <v>23</v>
      </c>
      <c r="AI190" s="196" t="s">
        <v>4516</v>
      </c>
      <c r="AJ190" s="189">
        <v>7100</v>
      </c>
      <c r="AK190" s="196">
        <v>0</v>
      </c>
      <c r="AL190" s="149">
        <f t="shared" si="34"/>
        <v>102</v>
      </c>
      <c r="AM190" s="196">
        <f t="shared" si="33"/>
        <v>724200</v>
      </c>
      <c r="AN190" s="196" t="s">
        <v>657</v>
      </c>
    </row>
    <row r="191" spans="16:44">
      <c r="Q191" s="99" t="s">
        <v>4461</v>
      </c>
      <c r="R191" s="95">
        <f>SUM(R181:R190)</f>
        <v>923194612.99999988</v>
      </c>
      <c r="S191" s="122"/>
      <c r="T191" s="168" t="s">
        <v>4595</v>
      </c>
      <c r="U191" s="168">
        <v>-16118</v>
      </c>
      <c r="V191" s="113">
        <v>248.17</v>
      </c>
      <c r="W191" s="113">
        <f t="shared" si="35"/>
        <v>-4000004.0599999996</v>
      </c>
      <c r="X191" s="99" t="s">
        <v>751</v>
      </c>
      <c r="Y191" t="s">
        <v>25</v>
      </c>
      <c r="AH191" s="20">
        <v>24</v>
      </c>
      <c r="AI191" s="20" t="s">
        <v>4516</v>
      </c>
      <c r="AJ191" s="117">
        <v>-147902</v>
      </c>
      <c r="AK191" s="20">
        <v>3</v>
      </c>
      <c r="AL191" s="99">
        <f t="shared" si="34"/>
        <v>102</v>
      </c>
      <c r="AM191" s="20">
        <f t="shared" si="33"/>
        <v>-15086004</v>
      </c>
      <c r="AN191" s="20"/>
    </row>
    <row r="192" spans="16:44">
      <c r="Q192" s="96"/>
      <c r="S192" s="115"/>
      <c r="T192" s="168" t="s">
        <v>4626</v>
      </c>
      <c r="U192" s="168">
        <v>101681</v>
      </c>
      <c r="V192" s="113">
        <v>246.5711</v>
      </c>
      <c r="W192" s="113">
        <f t="shared" si="35"/>
        <v>25071596.019099999</v>
      </c>
      <c r="X192" s="99" t="s">
        <v>452</v>
      </c>
      <c r="AH192" s="149">
        <v>25</v>
      </c>
      <c r="AI192" s="149" t="s">
        <v>4524</v>
      </c>
      <c r="AJ192" s="189">
        <v>-37200</v>
      </c>
      <c r="AK192" s="149">
        <v>4</v>
      </c>
      <c r="AL192" s="149">
        <f t="shared" si="34"/>
        <v>99</v>
      </c>
      <c r="AM192" s="196">
        <f t="shared" si="33"/>
        <v>-3682800</v>
      </c>
      <c r="AN192" s="149" t="s">
        <v>657</v>
      </c>
    </row>
    <row r="193" spans="16:44">
      <c r="Q193" s="96"/>
      <c r="R193" s="182"/>
      <c r="S193" s="115"/>
      <c r="T193" s="168" t="s">
        <v>4631</v>
      </c>
      <c r="U193" s="168">
        <v>66606</v>
      </c>
      <c r="V193" s="113">
        <v>251.131</v>
      </c>
      <c r="W193" s="113">
        <f t="shared" si="35"/>
        <v>16726831.386</v>
      </c>
      <c r="X193" s="99" t="s">
        <v>751</v>
      </c>
      <c r="AH193" s="99">
        <v>26</v>
      </c>
      <c r="AI193" s="99" t="s">
        <v>4555</v>
      </c>
      <c r="AJ193" s="117">
        <v>-372326</v>
      </c>
      <c r="AK193" s="99">
        <v>21</v>
      </c>
      <c r="AL193" s="99">
        <f t="shared" si="34"/>
        <v>95</v>
      </c>
      <c r="AM193" s="20">
        <f t="shared" si="33"/>
        <v>-35370970</v>
      </c>
      <c r="AN193" s="99"/>
    </row>
    <row r="194" spans="16:44">
      <c r="Q194" s="96"/>
      <c r="R194" s="182"/>
      <c r="T194" s="168" t="s">
        <v>4638</v>
      </c>
      <c r="U194" s="168">
        <v>172025</v>
      </c>
      <c r="V194" s="113">
        <v>245.52809999999999</v>
      </c>
      <c r="W194" s="113">
        <f t="shared" si="35"/>
        <v>42236971.402499996</v>
      </c>
      <c r="X194" s="99" t="s">
        <v>452</v>
      </c>
      <c r="AH194" s="99">
        <v>27</v>
      </c>
      <c r="AI194" s="99" t="s">
        <v>4611</v>
      </c>
      <c r="AJ194" s="117">
        <v>235062</v>
      </c>
      <c r="AK194" s="99">
        <v>0</v>
      </c>
      <c r="AL194" s="99">
        <f t="shared" si="34"/>
        <v>74</v>
      </c>
      <c r="AM194" s="20">
        <f t="shared" si="33"/>
        <v>17394588</v>
      </c>
      <c r="AN194" s="99"/>
    </row>
    <row r="195" spans="16:44">
      <c r="P195" s="99" t="s">
        <v>8</v>
      </c>
      <c r="Q195" s="96"/>
      <c r="R195" s="115"/>
      <c r="T195" s="168" t="s">
        <v>4638</v>
      </c>
      <c r="U195" s="168">
        <v>189227</v>
      </c>
      <c r="V195" s="113">
        <v>245.52809999999999</v>
      </c>
      <c r="W195" s="113">
        <f t="shared" si="35"/>
        <v>46460545.778700002</v>
      </c>
      <c r="X195" s="99" t="s">
        <v>751</v>
      </c>
      <c r="AH195" s="149">
        <v>28</v>
      </c>
      <c r="AI195" s="149" t="s">
        <v>4611</v>
      </c>
      <c r="AJ195" s="189">
        <v>235062</v>
      </c>
      <c r="AK195" s="149">
        <v>9</v>
      </c>
      <c r="AL195" s="99">
        <f t="shared" si="34"/>
        <v>74</v>
      </c>
      <c r="AM195" s="149">
        <f t="shared" si="33"/>
        <v>17394588</v>
      </c>
      <c r="AN195" s="149" t="s">
        <v>657</v>
      </c>
    </row>
    <row r="196" spans="16:44">
      <c r="P196" s="99"/>
      <c r="T196" s="168" t="s">
        <v>4641</v>
      </c>
      <c r="U196" s="168">
        <v>79720</v>
      </c>
      <c r="V196" s="113">
        <v>246.6568</v>
      </c>
      <c r="W196" s="113">
        <f t="shared" si="35"/>
        <v>19663480.096000001</v>
      </c>
      <c r="X196" s="99" t="s">
        <v>452</v>
      </c>
      <c r="AH196" s="149">
        <v>29</v>
      </c>
      <c r="AI196" s="149" t="s">
        <v>4641</v>
      </c>
      <c r="AJ196" s="189">
        <v>450000</v>
      </c>
      <c r="AK196" s="149">
        <v>0</v>
      </c>
      <c r="AL196" s="99">
        <f t="shared" si="34"/>
        <v>65</v>
      </c>
      <c r="AM196" s="149">
        <f t="shared" si="33"/>
        <v>29250000</v>
      </c>
      <c r="AN196" s="149" t="s">
        <v>657</v>
      </c>
    </row>
    <row r="197" spans="16:44">
      <c r="P197" s="99"/>
      <c r="Q197" s="99" t="s">
        <v>4451</v>
      </c>
      <c r="R197" s="99"/>
      <c r="T197" s="168" t="s">
        <v>4641</v>
      </c>
      <c r="U197" s="168">
        <v>79720</v>
      </c>
      <c r="V197" s="113">
        <v>246.6568</v>
      </c>
      <c r="W197" s="113">
        <f t="shared" si="35"/>
        <v>19663480.096000001</v>
      </c>
      <c r="X197" s="99" t="s">
        <v>751</v>
      </c>
      <c r="AH197" s="20">
        <v>30</v>
      </c>
      <c r="AI197" s="20" t="s">
        <v>4641</v>
      </c>
      <c r="AJ197" s="117">
        <v>450000</v>
      </c>
      <c r="AK197" s="20">
        <v>22</v>
      </c>
      <c r="AL197" s="99">
        <f>AK197+AL198</f>
        <v>65</v>
      </c>
      <c r="AM197" s="20">
        <f t="shared" si="33"/>
        <v>29250000</v>
      </c>
      <c r="AN197" s="20"/>
    </row>
    <row r="198" spans="16:44">
      <c r="P198" s="99"/>
      <c r="Q198" s="36" t="s">
        <v>180</v>
      </c>
      <c r="R198" s="99" t="s">
        <v>267</v>
      </c>
      <c r="T198" s="168" t="s">
        <v>4668</v>
      </c>
      <c r="U198" s="168">
        <v>17769</v>
      </c>
      <c r="V198" s="113">
        <v>246.17877999999999</v>
      </c>
      <c r="W198" s="113">
        <f t="shared" si="35"/>
        <v>4374350.7418200001</v>
      </c>
      <c r="X198" s="99" t="s">
        <v>751</v>
      </c>
      <c r="AH198" s="149">
        <v>31</v>
      </c>
      <c r="AI198" s="149" t="s">
        <v>4744</v>
      </c>
      <c r="AJ198" s="189">
        <v>300000</v>
      </c>
      <c r="AK198" s="149">
        <v>0</v>
      </c>
      <c r="AL198" s="149">
        <f t="shared" ref="AL198:AL216" si="36">AK198+AL199</f>
        <v>43</v>
      </c>
      <c r="AM198" s="149">
        <f t="shared" ref="AM198:AM201" si="37">AJ198*AL198</f>
        <v>12900000</v>
      </c>
      <c r="AN198" s="149"/>
    </row>
    <row r="199" spans="16:44" ht="30">
      <c r="P199" s="99"/>
      <c r="Q199" s="99" t="s">
        <v>4444</v>
      </c>
      <c r="R199" s="95">
        <v>3000000</v>
      </c>
      <c r="T199" s="168" t="s">
        <v>4668</v>
      </c>
      <c r="U199" s="168">
        <v>17769</v>
      </c>
      <c r="V199" s="113">
        <v>246.17877999999999</v>
      </c>
      <c r="W199" s="113">
        <f t="shared" si="35"/>
        <v>4374350.7418200001</v>
      </c>
      <c r="X199" s="99" t="s">
        <v>452</v>
      </c>
      <c r="AH199" s="121">
        <v>32</v>
      </c>
      <c r="AI199" s="121" t="s">
        <v>4744</v>
      </c>
      <c r="AJ199" s="79">
        <v>288936</v>
      </c>
      <c r="AK199" s="121">
        <v>3</v>
      </c>
      <c r="AL199" s="121">
        <f t="shared" si="36"/>
        <v>43</v>
      </c>
      <c r="AM199" s="121">
        <f t="shared" si="37"/>
        <v>12424248</v>
      </c>
      <c r="AN199" s="208" t="s">
        <v>4757</v>
      </c>
      <c r="AQ199" t="s">
        <v>25</v>
      </c>
    </row>
    <row r="200" spans="16:44">
      <c r="P200" s="99"/>
      <c r="Q200" s="99" t="s">
        <v>4498</v>
      </c>
      <c r="R200" s="95">
        <v>2000000</v>
      </c>
      <c r="T200" s="168" t="s">
        <v>4674</v>
      </c>
      <c r="U200" s="168">
        <v>12438</v>
      </c>
      <c r="V200" s="113">
        <v>241.20465999999999</v>
      </c>
      <c r="W200" s="113">
        <f t="shared" si="35"/>
        <v>3000103.5610799999</v>
      </c>
      <c r="X200" s="99" t="s">
        <v>4451</v>
      </c>
      <c r="AH200" s="121">
        <v>33</v>
      </c>
      <c r="AI200" s="121" t="s">
        <v>4755</v>
      </c>
      <c r="AJ200" s="79">
        <v>17962491</v>
      </c>
      <c r="AK200" s="121">
        <v>1</v>
      </c>
      <c r="AL200" s="121">
        <f t="shared" si="36"/>
        <v>40</v>
      </c>
      <c r="AM200" s="121">
        <f t="shared" si="37"/>
        <v>718499640</v>
      </c>
      <c r="AN200" s="121" t="s">
        <v>4762</v>
      </c>
    </row>
    <row r="201" spans="16:44">
      <c r="P201" s="99"/>
      <c r="Q201" s="99" t="s">
        <v>4506</v>
      </c>
      <c r="R201" s="95">
        <v>1000000</v>
      </c>
      <c r="T201" s="168" t="s">
        <v>4684</v>
      </c>
      <c r="U201" s="168">
        <v>27363</v>
      </c>
      <c r="V201" s="113">
        <v>239.3886</v>
      </c>
      <c r="W201" s="113">
        <f t="shared" si="35"/>
        <v>6550390.2617999995</v>
      </c>
      <c r="X201" s="99" t="s">
        <v>751</v>
      </c>
      <c r="AH201" s="121">
        <v>34</v>
      </c>
      <c r="AI201" s="121" t="s">
        <v>3684</v>
      </c>
      <c r="AJ201" s="79">
        <v>18363511</v>
      </c>
      <c r="AK201" s="121">
        <v>1</v>
      </c>
      <c r="AL201" s="121">
        <f t="shared" si="36"/>
        <v>39</v>
      </c>
      <c r="AM201" s="121">
        <f t="shared" si="37"/>
        <v>716176929</v>
      </c>
      <c r="AN201" s="121" t="s">
        <v>4762</v>
      </c>
    </row>
    <row r="202" spans="16:44">
      <c r="P202" s="99"/>
      <c r="Q202" s="99" t="s">
        <v>4512</v>
      </c>
      <c r="R202" s="95">
        <v>2000000</v>
      </c>
      <c r="T202" s="168" t="s">
        <v>4684</v>
      </c>
      <c r="U202" s="168">
        <v>27363</v>
      </c>
      <c r="V202" s="113">
        <v>239.3886</v>
      </c>
      <c r="W202" s="113">
        <f t="shared" si="35"/>
        <v>6550390.2617999995</v>
      </c>
      <c r="X202" s="99" t="s">
        <v>452</v>
      </c>
      <c r="AH202" s="121">
        <v>35</v>
      </c>
      <c r="AI202" s="121" t="s">
        <v>4768</v>
      </c>
      <c r="AJ202" s="79">
        <v>23622417</v>
      </c>
      <c r="AK202" s="121">
        <v>5</v>
      </c>
      <c r="AL202" s="121">
        <f t="shared" si="36"/>
        <v>38</v>
      </c>
      <c r="AM202" s="121">
        <f t="shared" ref="AM202:AM217" si="38">AJ202*AL202</f>
        <v>897651846</v>
      </c>
      <c r="AN202" s="121" t="s">
        <v>4777</v>
      </c>
      <c r="AR202" t="s">
        <v>25</v>
      </c>
    </row>
    <row r="203" spans="16:44">
      <c r="P203" s="99" t="s">
        <v>4931</v>
      </c>
      <c r="Q203" s="99" t="s">
        <v>994</v>
      </c>
      <c r="R203" s="95">
        <v>3000000</v>
      </c>
      <c r="T203" s="213" t="s">
        <v>4688</v>
      </c>
      <c r="U203" s="213">
        <v>27437</v>
      </c>
      <c r="V203" s="113">
        <v>242.4015</v>
      </c>
      <c r="W203" s="113">
        <f t="shared" si="35"/>
        <v>6650769.9555000002</v>
      </c>
      <c r="X203" s="99" t="s">
        <v>751</v>
      </c>
      <c r="AH203" s="121">
        <v>36</v>
      </c>
      <c r="AI203" s="121" t="s">
        <v>4794</v>
      </c>
      <c r="AJ203" s="79">
        <v>82496108</v>
      </c>
      <c r="AK203" s="121">
        <v>1</v>
      </c>
      <c r="AL203" s="121">
        <f t="shared" si="36"/>
        <v>33</v>
      </c>
      <c r="AM203" s="121">
        <f t="shared" si="38"/>
        <v>2722371564</v>
      </c>
      <c r="AN203" s="121" t="s">
        <v>4797</v>
      </c>
    </row>
    <row r="204" spans="16:44">
      <c r="P204" s="99" t="s">
        <v>4932</v>
      </c>
      <c r="Q204" s="99" t="s">
        <v>4674</v>
      </c>
      <c r="R204" s="95">
        <v>3000000</v>
      </c>
      <c r="T204" s="213" t="s">
        <v>4688</v>
      </c>
      <c r="U204" s="213">
        <v>29104</v>
      </c>
      <c r="V204" s="113">
        <v>242.4015</v>
      </c>
      <c r="W204" s="113">
        <f t="shared" si="35"/>
        <v>7054853.2560000001</v>
      </c>
      <c r="X204" s="99" t="s">
        <v>452</v>
      </c>
      <c r="AH204" s="121">
        <v>37</v>
      </c>
      <c r="AI204" s="121" t="s">
        <v>4796</v>
      </c>
      <c r="AJ204" s="79">
        <v>74657561</v>
      </c>
      <c r="AK204" s="121">
        <v>16</v>
      </c>
      <c r="AL204" s="121">
        <f t="shared" si="36"/>
        <v>32</v>
      </c>
      <c r="AM204" s="121">
        <f t="shared" si="38"/>
        <v>2389041952</v>
      </c>
      <c r="AN204" s="121" t="s">
        <v>4805</v>
      </c>
    </row>
    <row r="205" spans="16:44">
      <c r="P205" s="99" t="s">
        <v>4932</v>
      </c>
      <c r="Q205" s="99" t="s">
        <v>4924</v>
      </c>
      <c r="R205" s="95">
        <v>-800000</v>
      </c>
      <c r="T205" s="216" t="s">
        <v>4725</v>
      </c>
      <c r="U205" s="216">
        <v>8991</v>
      </c>
      <c r="V205" s="113">
        <v>238.64867000000001</v>
      </c>
      <c r="W205" s="113">
        <f t="shared" si="35"/>
        <v>2145690.19197</v>
      </c>
      <c r="X205" s="99" t="s">
        <v>751</v>
      </c>
      <c r="AH205" s="99">
        <v>38</v>
      </c>
      <c r="AI205" s="99" t="s">
        <v>4896</v>
      </c>
      <c r="AJ205" s="117">
        <v>665000</v>
      </c>
      <c r="AK205" s="99">
        <v>0</v>
      </c>
      <c r="AL205" s="99">
        <f t="shared" si="36"/>
        <v>16</v>
      </c>
      <c r="AM205" s="20">
        <f t="shared" si="38"/>
        <v>10640000</v>
      </c>
      <c r="AN205" s="99"/>
      <c r="AR205" t="s">
        <v>25</v>
      </c>
    </row>
    <row r="206" spans="16:44">
      <c r="P206" s="99"/>
      <c r="Q206" s="99" t="s">
        <v>4924</v>
      </c>
      <c r="R206" s="95">
        <v>-900000</v>
      </c>
      <c r="T206" s="216" t="s">
        <v>4725</v>
      </c>
      <c r="U206" s="216">
        <v>8991</v>
      </c>
      <c r="V206" s="113">
        <v>238.64867000000001</v>
      </c>
      <c r="W206" s="113">
        <f t="shared" si="35"/>
        <v>2145690.19197</v>
      </c>
      <c r="X206" s="99" t="s">
        <v>452</v>
      </c>
      <c r="AH206" s="149">
        <v>39</v>
      </c>
      <c r="AI206" s="149" t="s">
        <v>4896</v>
      </c>
      <c r="AJ206" s="189">
        <v>665000</v>
      </c>
      <c r="AK206" s="149">
        <v>4</v>
      </c>
      <c r="AL206" s="196">
        <f t="shared" si="36"/>
        <v>16</v>
      </c>
      <c r="AM206" s="196">
        <f t="shared" ref="AM206:AM207" si="39">AJ206*AL206</f>
        <v>10640000</v>
      </c>
      <c r="AN206" s="196"/>
    </row>
    <row r="207" spans="16:44">
      <c r="P207" s="99"/>
      <c r="Q207" s="99" t="s">
        <v>981</v>
      </c>
      <c r="R207" s="95">
        <v>-1100000</v>
      </c>
      <c r="T207" s="216" t="s">
        <v>4740</v>
      </c>
      <c r="U207" s="216">
        <v>18170</v>
      </c>
      <c r="V207" s="113">
        <v>240.48475999999999</v>
      </c>
      <c r="W207" s="113">
        <f t="shared" si="35"/>
        <v>4369608.0892000003</v>
      </c>
      <c r="X207" s="99" t="s">
        <v>751</v>
      </c>
      <c r="AH207" s="20">
        <v>40</v>
      </c>
      <c r="AI207" s="20" t="s">
        <v>4915</v>
      </c>
      <c r="AJ207" s="117">
        <v>2000000</v>
      </c>
      <c r="AK207" s="20">
        <v>1</v>
      </c>
      <c r="AL207" s="99">
        <f t="shared" si="36"/>
        <v>12</v>
      </c>
      <c r="AM207" s="20">
        <f t="shared" si="39"/>
        <v>24000000</v>
      </c>
      <c r="AN207" s="99"/>
    </row>
    <row r="208" spans="16:44">
      <c r="P208" s="99"/>
      <c r="Q208" s="99"/>
      <c r="R208" s="95"/>
      <c r="S208" t="s">
        <v>25</v>
      </c>
      <c r="T208" s="216" t="s">
        <v>4740</v>
      </c>
      <c r="U208" s="216">
        <v>18170</v>
      </c>
      <c r="V208" s="113">
        <v>240.48475999999999</v>
      </c>
      <c r="W208" s="113">
        <f t="shared" si="35"/>
        <v>4369608.0892000003</v>
      </c>
      <c r="X208" s="99" t="s">
        <v>452</v>
      </c>
      <c r="AH208" s="20">
        <v>41</v>
      </c>
      <c r="AI208" s="20" t="s">
        <v>4924</v>
      </c>
      <c r="AJ208" s="117">
        <v>-2060725</v>
      </c>
      <c r="AK208" s="20">
        <v>0</v>
      </c>
      <c r="AL208" s="99">
        <f t="shared" si="36"/>
        <v>11</v>
      </c>
      <c r="AM208" s="20">
        <f t="shared" ref="AM208:AM216" si="40">AJ208*AL208</f>
        <v>-22667975</v>
      </c>
      <c r="AN208" s="99" t="s">
        <v>4925</v>
      </c>
    </row>
    <row r="209" spans="17:45">
      <c r="Q209" s="99"/>
      <c r="R209" s="95">
        <f>SUM(R199:R207)</f>
        <v>11200000</v>
      </c>
      <c r="T209" s="216" t="s">
        <v>4744</v>
      </c>
      <c r="U209" s="216">
        <v>36797</v>
      </c>
      <c r="V209" s="113">
        <v>239.0822</v>
      </c>
      <c r="W209" s="113">
        <f t="shared" si="35"/>
        <v>8797507.7134000007</v>
      </c>
      <c r="X209" s="99" t="s">
        <v>751</v>
      </c>
      <c r="AH209" s="149">
        <v>42</v>
      </c>
      <c r="AI209" s="149" t="s">
        <v>4924</v>
      </c>
      <c r="AJ209" s="189">
        <v>-433375</v>
      </c>
      <c r="AK209" s="149">
        <v>0</v>
      </c>
      <c r="AL209" s="149">
        <f t="shared" si="36"/>
        <v>11</v>
      </c>
      <c r="AM209" s="149">
        <f t="shared" si="40"/>
        <v>-4767125</v>
      </c>
      <c r="AN209" s="149" t="s">
        <v>4926</v>
      </c>
      <c r="AP209" t="s">
        <v>25</v>
      </c>
    </row>
    <row r="210" spans="17:45">
      <c r="Q210" s="99"/>
      <c r="R210" s="99" t="s">
        <v>6</v>
      </c>
      <c r="T210" s="216" t="s">
        <v>4744</v>
      </c>
      <c r="U210" s="216">
        <v>36797</v>
      </c>
      <c r="V210" s="113">
        <v>239.0822</v>
      </c>
      <c r="W210" s="113">
        <f t="shared" si="35"/>
        <v>8797507.7134000007</v>
      </c>
      <c r="X210" s="99" t="s">
        <v>452</v>
      </c>
      <c r="Z210" t="s">
        <v>25</v>
      </c>
      <c r="AH210" s="20">
        <v>43</v>
      </c>
      <c r="AI210" s="20" t="s">
        <v>4924</v>
      </c>
      <c r="AJ210" s="117">
        <v>28000000</v>
      </c>
      <c r="AK210" s="20">
        <v>1</v>
      </c>
      <c r="AL210" s="99">
        <f t="shared" si="36"/>
        <v>11</v>
      </c>
      <c r="AM210" s="20">
        <f t="shared" si="40"/>
        <v>308000000</v>
      </c>
      <c r="AN210" s="99" t="s">
        <v>3891</v>
      </c>
    </row>
    <row r="211" spans="17:45">
      <c r="T211" s="216" t="s">
        <v>4755</v>
      </c>
      <c r="U211" s="216">
        <v>28066</v>
      </c>
      <c r="V211" s="113">
        <v>237.56970000000001</v>
      </c>
      <c r="W211" s="113">
        <f t="shared" si="35"/>
        <v>6667631.2002000008</v>
      </c>
      <c r="X211" s="99" t="s">
        <v>751</v>
      </c>
      <c r="AH211" s="20">
        <v>44</v>
      </c>
      <c r="AI211" s="20" t="s">
        <v>4935</v>
      </c>
      <c r="AJ211" s="117">
        <v>160000</v>
      </c>
      <c r="AK211" s="20">
        <v>0</v>
      </c>
      <c r="AL211" s="99">
        <f t="shared" si="36"/>
        <v>10</v>
      </c>
      <c r="AM211" s="20">
        <f t="shared" si="40"/>
        <v>1600000</v>
      </c>
      <c r="AN211" s="99"/>
      <c r="AR211" t="s">
        <v>25</v>
      </c>
    </row>
    <row r="212" spans="17:45">
      <c r="Q212" s="96"/>
      <c r="R212" s="96"/>
      <c r="T212" s="216" t="s">
        <v>4755</v>
      </c>
      <c r="U212" s="216">
        <v>28066</v>
      </c>
      <c r="V212" s="113">
        <v>237.56970000000001</v>
      </c>
      <c r="W212" s="113">
        <f t="shared" si="35"/>
        <v>6667631.2002000008</v>
      </c>
      <c r="X212" s="99" t="s">
        <v>452</v>
      </c>
      <c r="AH212" s="149">
        <v>45</v>
      </c>
      <c r="AI212" s="149" t="s">
        <v>4935</v>
      </c>
      <c r="AJ212" s="189">
        <v>70000</v>
      </c>
      <c r="AK212" s="149">
        <v>9</v>
      </c>
      <c r="AL212" s="149">
        <f t="shared" si="36"/>
        <v>10</v>
      </c>
      <c r="AM212" s="149">
        <f t="shared" si="40"/>
        <v>700000</v>
      </c>
      <c r="AN212" s="149"/>
      <c r="AQ212" t="s">
        <v>25</v>
      </c>
    </row>
    <row r="213" spans="17:45">
      <c r="Q213" s="96"/>
      <c r="R213" s="96"/>
      <c r="T213" s="216" t="s">
        <v>3684</v>
      </c>
      <c r="U213" s="216">
        <v>37457</v>
      </c>
      <c r="V213" s="113">
        <v>239.77</v>
      </c>
      <c r="W213" s="113">
        <f t="shared" si="35"/>
        <v>8981064.8900000006</v>
      </c>
      <c r="X213" s="99" t="s">
        <v>751</v>
      </c>
      <c r="AH213" s="20">
        <v>46</v>
      </c>
      <c r="AI213" s="20" t="s">
        <v>4951</v>
      </c>
      <c r="AJ213" s="117">
        <v>850000</v>
      </c>
      <c r="AK213" s="20">
        <v>0</v>
      </c>
      <c r="AL213" s="99">
        <f t="shared" si="36"/>
        <v>1</v>
      </c>
      <c r="AM213" s="20">
        <f t="shared" si="40"/>
        <v>850000</v>
      </c>
      <c r="AN213" s="99"/>
    </row>
    <row r="214" spans="17:45">
      <c r="T214" s="216" t="s">
        <v>3684</v>
      </c>
      <c r="U214" s="216">
        <v>37457</v>
      </c>
      <c r="V214" s="113">
        <v>239.77</v>
      </c>
      <c r="W214" s="113">
        <f t="shared" si="35"/>
        <v>8981064.8900000006</v>
      </c>
      <c r="X214" s="99" t="s">
        <v>452</v>
      </c>
      <c r="AH214" s="196">
        <v>47</v>
      </c>
      <c r="AI214" s="196" t="s">
        <v>4951</v>
      </c>
      <c r="AJ214" s="197">
        <v>20000</v>
      </c>
      <c r="AK214" s="196">
        <v>1</v>
      </c>
      <c r="AL214" s="196">
        <f t="shared" si="36"/>
        <v>1</v>
      </c>
      <c r="AM214" s="196">
        <f t="shared" si="40"/>
        <v>20000</v>
      </c>
      <c r="AN214" s="196"/>
    </row>
    <row r="215" spans="17:45">
      <c r="Q215" s="99" t="s">
        <v>751</v>
      </c>
      <c r="R215" s="99"/>
      <c r="T215" s="216" t="s">
        <v>4768</v>
      </c>
      <c r="U215" s="216">
        <v>38412</v>
      </c>
      <c r="V215" s="113">
        <v>239.03</v>
      </c>
      <c r="W215" s="113">
        <f t="shared" si="35"/>
        <v>9181620.3599999994</v>
      </c>
      <c r="X215" s="99" t="s">
        <v>751</v>
      </c>
      <c r="AH215" s="20"/>
      <c r="AI215" s="20"/>
      <c r="AJ215" s="117"/>
      <c r="AK215" s="20"/>
      <c r="AL215" s="99">
        <f t="shared" si="36"/>
        <v>0</v>
      </c>
      <c r="AM215" s="20">
        <f t="shared" si="40"/>
        <v>0</v>
      </c>
      <c r="AN215" s="99"/>
    </row>
    <row r="216" spans="17:45">
      <c r="Q216" s="99" t="s">
        <v>4444</v>
      </c>
      <c r="R216" s="95">
        <v>172908000</v>
      </c>
      <c r="T216" s="216" t="s">
        <v>4768</v>
      </c>
      <c r="U216" s="216">
        <v>38412</v>
      </c>
      <c r="V216" s="113">
        <v>239.03</v>
      </c>
      <c r="W216" s="113">
        <f t="shared" si="35"/>
        <v>9181620.3599999994</v>
      </c>
      <c r="X216" s="99" t="s">
        <v>452</v>
      </c>
      <c r="AH216" s="99"/>
      <c r="AI216" s="99"/>
      <c r="AJ216" s="117"/>
      <c r="AK216" s="99"/>
      <c r="AL216" s="99">
        <f t="shared" si="36"/>
        <v>0</v>
      </c>
      <c r="AM216" s="20">
        <f t="shared" si="40"/>
        <v>0</v>
      </c>
      <c r="AN216" s="99"/>
      <c r="AS216" t="s">
        <v>25</v>
      </c>
    </row>
    <row r="217" spans="17:45">
      <c r="Q217" s="99" t="s">
        <v>4485</v>
      </c>
      <c r="R217" s="95">
        <v>1400000</v>
      </c>
      <c r="T217" s="216" t="s">
        <v>4778</v>
      </c>
      <c r="U217" s="216">
        <v>49555</v>
      </c>
      <c r="V217" s="113">
        <v>238.345</v>
      </c>
      <c r="W217" s="113">
        <f t="shared" si="35"/>
        <v>11811186.475</v>
      </c>
      <c r="X217" s="99" t="s">
        <v>751</v>
      </c>
      <c r="AH217" s="99"/>
      <c r="AI217" s="99"/>
      <c r="AJ217" s="117"/>
      <c r="AK217" s="99"/>
      <c r="AL217" s="99">
        <f t="shared" ref="AL217" si="41">AK217+AL220</f>
        <v>0</v>
      </c>
      <c r="AM217" s="99">
        <f t="shared" si="38"/>
        <v>0</v>
      </c>
      <c r="AN217" s="99"/>
    </row>
    <row r="218" spans="17:45">
      <c r="Q218" s="99" t="s">
        <v>4232</v>
      </c>
      <c r="R218" s="95">
        <v>247393</v>
      </c>
      <c r="T218" s="216" t="s">
        <v>4778</v>
      </c>
      <c r="U218" s="216">
        <v>49555</v>
      </c>
      <c r="V218" s="113">
        <v>238.345</v>
      </c>
      <c r="W218" s="113">
        <f t="shared" si="35"/>
        <v>11811186.475</v>
      </c>
      <c r="X218" s="99" t="s">
        <v>452</v>
      </c>
      <c r="AH218" s="99"/>
      <c r="AI218" s="99"/>
      <c r="AJ218" s="95">
        <f>SUM(AJ168:AJ217)</f>
        <v>276517098</v>
      </c>
      <c r="AK218" s="99"/>
      <c r="AL218" s="99"/>
      <c r="AM218" s="99">
        <f>SUM(AM168:AM217)</f>
        <v>12895007279</v>
      </c>
      <c r="AN218" s="95">
        <f>AM218*AN154/31</f>
        <v>6932938.2683578394</v>
      </c>
    </row>
    <row r="219" spans="17:45">
      <c r="Q219" s="99" t="s">
        <v>4231</v>
      </c>
      <c r="R219" s="95">
        <v>6780000</v>
      </c>
      <c r="T219" s="216" t="s">
        <v>4796</v>
      </c>
      <c r="U219" s="216">
        <v>160187</v>
      </c>
      <c r="V219" s="113">
        <v>257.49799999999999</v>
      </c>
      <c r="W219" s="113">
        <f t="shared" si="35"/>
        <v>41247832.126000002</v>
      </c>
      <c r="X219" s="99" t="s">
        <v>751</v>
      </c>
      <c r="AJ219" t="s">
        <v>4059</v>
      </c>
      <c r="AM219" t="s">
        <v>284</v>
      </c>
      <c r="AN219" t="s">
        <v>943</v>
      </c>
    </row>
    <row r="220" spans="17:45">
      <c r="Q220" s="99" t="s">
        <v>4595</v>
      </c>
      <c r="R220" s="95">
        <v>-4000000</v>
      </c>
      <c r="T220" s="216" t="s">
        <v>4796</v>
      </c>
      <c r="U220" s="216">
        <v>160187</v>
      </c>
      <c r="V220" s="113">
        <v>257.49799999999999</v>
      </c>
      <c r="W220" s="113">
        <f t="shared" si="35"/>
        <v>41247832.126000002</v>
      </c>
      <c r="X220" s="99" t="s">
        <v>452</v>
      </c>
      <c r="Y220" t="s">
        <v>25</v>
      </c>
    </row>
    <row r="221" spans="17:45">
      <c r="Q221" s="99" t="s">
        <v>4631</v>
      </c>
      <c r="R221" s="95">
        <v>16727037</v>
      </c>
      <c r="S221" t="s">
        <v>25</v>
      </c>
      <c r="T221" s="216" t="s">
        <v>4806</v>
      </c>
      <c r="U221" s="216">
        <v>144401</v>
      </c>
      <c r="V221" s="113">
        <v>258.5061</v>
      </c>
      <c r="W221" s="113">
        <f t="shared" si="35"/>
        <v>37328539.346100003</v>
      </c>
      <c r="X221" s="99" t="s">
        <v>751</v>
      </c>
      <c r="AI221" t="s">
        <v>4061</v>
      </c>
      <c r="AJ221" s="114">
        <f>AJ218+AN218</f>
        <v>283450036.26835781</v>
      </c>
    </row>
    <row r="222" spans="17:45">
      <c r="Q222" s="99" t="s">
        <v>4638</v>
      </c>
      <c r="R222" s="95">
        <v>46460683</v>
      </c>
      <c r="T222" s="216" t="s">
        <v>4806</v>
      </c>
      <c r="U222" s="216">
        <v>144401</v>
      </c>
      <c r="V222" s="113">
        <v>258.5061</v>
      </c>
      <c r="W222" s="113">
        <f t="shared" si="35"/>
        <v>37328539.346100003</v>
      </c>
      <c r="X222" s="99" t="s">
        <v>452</v>
      </c>
      <c r="Y222" s="96"/>
      <c r="AI222" t="s">
        <v>4064</v>
      </c>
      <c r="AJ222" s="114">
        <f>SUM(N20:N39)</f>
        <v>308634116.99999994</v>
      </c>
    </row>
    <row r="223" spans="17:45">
      <c r="Q223" s="99" t="s">
        <v>4641</v>
      </c>
      <c r="R223" s="95">
        <v>19663646</v>
      </c>
      <c r="T223" s="168" t="s">
        <v>4816</v>
      </c>
      <c r="U223" s="168">
        <v>196500</v>
      </c>
      <c r="V223" s="113">
        <v>254.452</v>
      </c>
      <c r="W223" s="113">
        <f t="shared" si="35"/>
        <v>49999818</v>
      </c>
      <c r="X223" s="99" t="s">
        <v>4824</v>
      </c>
      <c r="Y223" t="s">
        <v>25</v>
      </c>
      <c r="AI223" t="s">
        <v>4136</v>
      </c>
      <c r="AJ223" s="114">
        <f>AJ222-AJ218</f>
        <v>32117018.99999994</v>
      </c>
    </row>
    <row r="224" spans="17:45">
      <c r="Q224" s="99" t="s">
        <v>4668</v>
      </c>
      <c r="R224" s="95">
        <v>4374525</v>
      </c>
      <c r="T224" s="216" t="s">
        <v>4816</v>
      </c>
      <c r="U224" s="216">
        <v>2561</v>
      </c>
      <c r="V224" s="113">
        <v>254.536</v>
      </c>
      <c r="W224" s="113">
        <f t="shared" si="35"/>
        <v>651866.696</v>
      </c>
      <c r="X224" s="99" t="s">
        <v>4825</v>
      </c>
      <c r="Z224" t="s">
        <v>25</v>
      </c>
      <c r="AI224" t="s">
        <v>943</v>
      </c>
      <c r="AJ224" s="114">
        <f>AN218</f>
        <v>6932938.2683578394</v>
      </c>
    </row>
    <row r="225" spans="17:40">
      <c r="Q225" s="99" t="s">
        <v>4684</v>
      </c>
      <c r="R225" s="95">
        <v>6550580</v>
      </c>
      <c r="S225" t="s">
        <v>25</v>
      </c>
      <c r="T225" s="216" t="s">
        <v>4876</v>
      </c>
      <c r="U225" s="216">
        <v>-11795</v>
      </c>
      <c r="V225" s="113">
        <v>254.334</v>
      </c>
      <c r="W225" s="113">
        <f t="shared" si="35"/>
        <v>-2999869.5300000003</v>
      </c>
      <c r="X225" s="99" t="s">
        <v>4878</v>
      </c>
      <c r="AI225" t="s">
        <v>4065</v>
      </c>
      <c r="AJ225" s="114">
        <f>AJ223-AJ224</f>
        <v>25184080.731642101</v>
      </c>
      <c r="AN225" t="s">
        <v>25</v>
      </c>
    </row>
    <row r="226" spans="17:40">
      <c r="Q226" s="99" t="s">
        <v>4688</v>
      </c>
      <c r="R226" s="95">
        <v>6650895</v>
      </c>
      <c r="T226" s="216" t="s">
        <v>4876</v>
      </c>
      <c r="U226" s="216">
        <v>11795</v>
      </c>
      <c r="V226" s="113">
        <v>254.334</v>
      </c>
      <c r="W226" s="113">
        <f t="shared" si="35"/>
        <v>2999869.5300000003</v>
      </c>
      <c r="X226" s="99" t="s">
        <v>4879</v>
      </c>
      <c r="AN226" t="s">
        <v>25</v>
      </c>
    </row>
    <row r="227" spans="17:40">
      <c r="Q227" s="99" t="s">
        <v>4725</v>
      </c>
      <c r="R227" s="95">
        <v>2145814</v>
      </c>
      <c r="T227" s="216" t="s">
        <v>4896</v>
      </c>
      <c r="U227" s="216">
        <v>260</v>
      </c>
      <c r="V227" s="113">
        <v>263.19</v>
      </c>
      <c r="W227" s="113">
        <f t="shared" si="35"/>
        <v>68429.399999999994</v>
      </c>
      <c r="X227" s="99" t="s">
        <v>452</v>
      </c>
    </row>
    <row r="228" spans="17:40">
      <c r="Q228" s="99" t="s">
        <v>4740</v>
      </c>
      <c r="R228" s="95">
        <v>4369730</v>
      </c>
      <c r="T228" s="216" t="s">
        <v>4915</v>
      </c>
      <c r="U228" s="216">
        <v>15257</v>
      </c>
      <c r="V228" s="113">
        <v>262.19018</v>
      </c>
      <c r="W228" s="113">
        <f t="shared" si="35"/>
        <v>4000235.57626</v>
      </c>
      <c r="X228" s="99" t="s">
        <v>452</v>
      </c>
    </row>
    <row r="229" spans="17:40">
      <c r="Q229" s="99" t="s">
        <v>4744</v>
      </c>
      <c r="R229" s="95">
        <v>8739459</v>
      </c>
      <c r="T229" s="216" t="s">
        <v>4915</v>
      </c>
      <c r="U229" s="216">
        <v>8444</v>
      </c>
      <c r="V229" s="113">
        <v>266.43029999999999</v>
      </c>
      <c r="W229" s="113">
        <f t="shared" si="35"/>
        <v>2249737.4531999999</v>
      </c>
      <c r="X229" s="99" t="s">
        <v>452</v>
      </c>
    </row>
    <row r="230" spans="17:40">
      <c r="Q230" s="99" t="s">
        <v>4755</v>
      </c>
      <c r="R230" s="95">
        <v>6667654</v>
      </c>
      <c r="T230" s="216" t="s">
        <v>4924</v>
      </c>
      <c r="U230" s="216">
        <v>-6209</v>
      </c>
      <c r="V230" s="113">
        <v>273.79649999999998</v>
      </c>
      <c r="W230" s="113">
        <f t="shared" si="35"/>
        <v>-1700002.4685</v>
      </c>
      <c r="X230" s="99" t="s">
        <v>4937</v>
      </c>
    </row>
    <row r="231" spans="17:40">
      <c r="Q231" s="99" t="s">
        <v>4763</v>
      </c>
      <c r="R231" s="95">
        <v>8981245</v>
      </c>
      <c r="T231" s="216" t="s">
        <v>4924</v>
      </c>
      <c r="U231" s="216">
        <v>-8014</v>
      </c>
      <c r="V231" s="113">
        <v>273.79649999999998</v>
      </c>
      <c r="W231" s="113">
        <f t="shared" si="35"/>
        <v>-2194205.1510000001</v>
      </c>
      <c r="X231" s="99" t="s">
        <v>751</v>
      </c>
    </row>
    <row r="232" spans="17:40">
      <c r="Q232" s="99" t="s">
        <v>4768</v>
      </c>
      <c r="R232" s="95">
        <v>9181756</v>
      </c>
      <c r="S232" t="s">
        <v>25</v>
      </c>
      <c r="T232" s="216" t="s">
        <v>4935</v>
      </c>
      <c r="U232" s="216">
        <v>-9176</v>
      </c>
      <c r="V232" s="113">
        <v>273.79649999999998</v>
      </c>
      <c r="W232" s="113">
        <f t="shared" si="35"/>
        <v>-2512356.6839999999</v>
      </c>
      <c r="X232" s="99" t="s">
        <v>452</v>
      </c>
    </row>
    <row r="233" spans="17:40">
      <c r="Q233" s="99" t="s">
        <v>4778</v>
      </c>
      <c r="R233" s="95">
        <v>11811208</v>
      </c>
      <c r="T233" s="216" t="s">
        <v>4935</v>
      </c>
      <c r="U233" s="216">
        <v>1087</v>
      </c>
      <c r="V233" s="113">
        <v>273.79649999999998</v>
      </c>
      <c r="W233" s="113">
        <f t="shared" si="35"/>
        <v>297616.79550000001</v>
      </c>
      <c r="X233" s="99" t="s">
        <v>452</v>
      </c>
    </row>
    <row r="234" spans="17:40">
      <c r="Q234" s="99" t="s">
        <v>4796</v>
      </c>
      <c r="R234" s="95">
        <v>41248054</v>
      </c>
      <c r="T234" s="216" t="s">
        <v>981</v>
      </c>
      <c r="U234" s="216">
        <v>-4017</v>
      </c>
      <c r="V234" s="113">
        <v>273.79649999999998</v>
      </c>
      <c r="W234" s="113">
        <f t="shared" si="35"/>
        <v>-1099840.5404999999</v>
      </c>
      <c r="X234" s="99" t="s">
        <v>4451</v>
      </c>
    </row>
    <row r="235" spans="17:40">
      <c r="Q235" s="99" t="s">
        <v>4806</v>
      </c>
      <c r="R235" s="95">
        <v>37328780</v>
      </c>
      <c r="T235" s="216" t="s">
        <v>981</v>
      </c>
      <c r="U235" s="216">
        <v>4017</v>
      </c>
      <c r="V235" s="113">
        <v>273.79649999999998</v>
      </c>
      <c r="W235" s="113">
        <f t="shared" si="35"/>
        <v>1099840.5404999999</v>
      </c>
      <c r="X235" s="99" t="s">
        <v>452</v>
      </c>
    </row>
    <row r="236" spans="17:40">
      <c r="Q236" s="99" t="s">
        <v>4924</v>
      </c>
      <c r="R236" s="95">
        <v>-2194100</v>
      </c>
      <c r="S236" t="s">
        <v>25</v>
      </c>
      <c r="T236" s="216" t="s">
        <v>4951</v>
      </c>
      <c r="U236" s="216">
        <v>3137</v>
      </c>
      <c r="V236" s="113">
        <v>283.69110000000001</v>
      </c>
      <c r="W236" s="113">
        <f t="shared" si="35"/>
        <v>889938.98070000007</v>
      </c>
      <c r="X236" s="99" t="s">
        <v>452</v>
      </c>
    </row>
    <row r="237" spans="17:40">
      <c r="Q237" s="99"/>
      <c r="R237" s="95"/>
      <c r="S237" t="s">
        <v>25</v>
      </c>
      <c r="T237" s="216"/>
      <c r="U237" s="216"/>
      <c r="V237" s="113"/>
      <c r="W237" s="113"/>
      <c r="X237" s="99"/>
    </row>
    <row r="238" spans="17:40">
      <c r="Q238" s="99"/>
      <c r="R238" s="95">
        <f>SUM(R216:R237)</f>
        <v>406042359</v>
      </c>
      <c r="T238" s="216"/>
      <c r="U238" s="216"/>
      <c r="V238" s="113"/>
      <c r="W238" s="113"/>
      <c r="X238" s="99"/>
    </row>
    <row r="239" spans="17:40">
      <c r="Q239" s="99"/>
      <c r="R239" s="99" t="s">
        <v>6</v>
      </c>
      <c r="T239" s="168"/>
      <c r="U239" s="168"/>
      <c r="V239" s="113"/>
      <c r="W239" s="113"/>
      <c r="X239" s="99"/>
    </row>
    <row r="240" spans="17:40">
      <c r="T240" s="168"/>
      <c r="U240" s="168">
        <f>SUM(U181:U239)</f>
        <v>3211782</v>
      </c>
      <c r="V240" s="99"/>
      <c r="W240" s="99"/>
      <c r="X240" s="99"/>
    </row>
    <row r="241" spans="17:24">
      <c r="T241" s="99"/>
      <c r="U241" s="99" t="s">
        <v>6</v>
      </c>
      <c r="V241" s="99"/>
      <c r="W241" s="99"/>
      <c r="X241" s="99"/>
    </row>
    <row r="242" spans="17:24">
      <c r="Q242" s="99" t="s">
        <v>452</v>
      </c>
      <c r="R242" s="99"/>
      <c r="T242" s="201" t="s">
        <v>4488</v>
      </c>
    </row>
    <row r="243" spans="17:24">
      <c r="Q243" s="99" t="s">
        <v>4444</v>
      </c>
      <c r="R243" s="95">
        <v>63115000</v>
      </c>
      <c r="T243" s="200">
        <f>R191/U240</f>
        <v>287.43999841832351</v>
      </c>
    </row>
    <row r="244" spans="17:24">
      <c r="Q244" s="99" t="s">
        <v>4498</v>
      </c>
      <c r="R244" s="95">
        <v>13300000</v>
      </c>
      <c r="W244" s="114"/>
    </row>
    <row r="245" spans="17:24">
      <c r="Q245" s="99" t="s">
        <v>4506</v>
      </c>
      <c r="R245" s="95">
        <v>2269000</v>
      </c>
      <c r="U245" s="96" t="s">
        <v>267</v>
      </c>
      <c r="V245" t="s">
        <v>4489</v>
      </c>
      <c r="X245" t="s">
        <v>25</v>
      </c>
    </row>
    <row r="246" spans="17:24">
      <c r="Q246" s="99" t="s">
        <v>4626</v>
      </c>
      <c r="R246" s="95">
        <v>25071612</v>
      </c>
      <c r="T246" s="114"/>
      <c r="U246" s="113">
        <v>890000</v>
      </c>
      <c r="V246">
        <f>U246/T243</f>
        <v>3096.2983749559644</v>
      </c>
      <c r="X246" t="s">
        <v>25</v>
      </c>
    </row>
    <row r="247" spans="17:24">
      <c r="Q247" s="99" t="s">
        <v>4638</v>
      </c>
      <c r="R247" s="95">
        <v>42236984</v>
      </c>
      <c r="X247" t="s">
        <v>25</v>
      </c>
    </row>
    <row r="248" spans="17:24">
      <c r="Q248" s="99" t="s">
        <v>4641</v>
      </c>
      <c r="R248" s="95">
        <v>19663646</v>
      </c>
      <c r="W248" s="226"/>
      <c r="X248" s="96"/>
    </row>
    <row r="249" spans="17:24">
      <c r="Q249" s="99" t="s">
        <v>4668</v>
      </c>
      <c r="R249" s="95">
        <v>4374525</v>
      </c>
    </row>
    <row r="250" spans="17:24">
      <c r="Q250" s="99" t="s">
        <v>4684</v>
      </c>
      <c r="R250" s="95">
        <v>6550580</v>
      </c>
      <c r="X250" t="s">
        <v>25</v>
      </c>
    </row>
    <row r="251" spans="17:24" ht="60">
      <c r="Q251" s="99" t="s">
        <v>4688</v>
      </c>
      <c r="R251" s="95">
        <v>7054895</v>
      </c>
      <c r="T251" s="22" t="s">
        <v>4472</v>
      </c>
      <c r="X251" t="s">
        <v>25</v>
      </c>
    </row>
    <row r="252" spans="17:24" ht="45">
      <c r="Q252" s="99" t="s">
        <v>4725</v>
      </c>
      <c r="R252" s="95">
        <v>2145814</v>
      </c>
      <c r="T252" s="22" t="s">
        <v>4473</v>
      </c>
    </row>
    <row r="253" spans="17:24">
      <c r="Q253" s="99" t="s">
        <v>4740</v>
      </c>
      <c r="R253" s="95">
        <v>4369730</v>
      </c>
    </row>
    <row r="254" spans="17:24">
      <c r="Q254" s="99" t="s">
        <v>4744</v>
      </c>
      <c r="R254" s="95">
        <v>8739459</v>
      </c>
    </row>
    <row r="255" spans="17:24">
      <c r="Q255" s="99" t="s">
        <v>4755</v>
      </c>
      <c r="R255" s="95">
        <v>6667654</v>
      </c>
      <c r="T255" s="99" t="s">
        <v>4490</v>
      </c>
      <c r="U255" s="99" t="s">
        <v>4461</v>
      </c>
      <c r="V255" s="99" t="s">
        <v>953</v>
      </c>
    </row>
    <row r="256" spans="17:24">
      <c r="Q256" s="99" t="s">
        <v>3684</v>
      </c>
      <c r="R256" s="95">
        <v>8981245</v>
      </c>
      <c r="T256" s="95">
        <f>R209+R238+R272</f>
        <v>787448993</v>
      </c>
      <c r="U256" s="95">
        <f>R191</f>
        <v>923194612.99999988</v>
      </c>
      <c r="V256" s="95">
        <f>U256-T256</f>
        <v>135745619.99999988</v>
      </c>
    </row>
    <row r="257" spans="17:20">
      <c r="Q257" s="99" t="s">
        <v>4768</v>
      </c>
      <c r="R257" s="95">
        <v>9181756</v>
      </c>
    </row>
    <row r="258" spans="17:20">
      <c r="Q258" s="99" t="s">
        <v>4778</v>
      </c>
      <c r="R258" s="95">
        <v>11811208</v>
      </c>
    </row>
    <row r="259" spans="17:20">
      <c r="Q259" s="99" t="s">
        <v>4796</v>
      </c>
      <c r="R259" s="95">
        <v>41248054</v>
      </c>
    </row>
    <row r="260" spans="17:20">
      <c r="Q260" s="99" t="s">
        <v>4806</v>
      </c>
      <c r="R260" s="95">
        <v>37328780</v>
      </c>
    </row>
    <row r="261" spans="17:20">
      <c r="Q261" s="99" t="s">
        <v>4816</v>
      </c>
      <c r="R261" s="95">
        <v>50000000</v>
      </c>
      <c r="T261" t="s">
        <v>25</v>
      </c>
    </row>
    <row r="262" spans="17:20">
      <c r="Q262" s="99" t="s">
        <v>4896</v>
      </c>
      <c r="R262" s="95">
        <v>68656</v>
      </c>
      <c r="T262" t="s">
        <v>25</v>
      </c>
    </row>
    <row r="263" spans="17:20">
      <c r="Q263" s="99" t="s">
        <v>4915</v>
      </c>
      <c r="R263" s="95">
        <v>4000236</v>
      </c>
    </row>
    <row r="264" spans="17:20">
      <c r="Q264" s="99" t="s">
        <v>4915</v>
      </c>
      <c r="R264" s="95">
        <v>2250000</v>
      </c>
      <c r="T264" t="s">
        <v>25</v>
      </c>
    </row>
    <row r="265" spans="17:20">
      <c r="Q265" s="99" t="s">
        <v>4924</v>
      </c>
      <c r="R265" s="95">
        <v>-2512200</v>
      </c>
    </row>
    <row r="266" spans="17:20">
      <c r="Q266" s="99" t="s">
        <v>4935</v>
      </c>
      <c r="R266" s="95">
        <v>300000</v>
      </c>
    </row>
    <row r="267" spans="17:20">
      <c r="Q267" s="99" t="s">
        <v>981</v>
      </c>
      <c r="R267" s="95">
        <v>1100000</v>
      </c>
    </row>
    <row r="268" spans="17:20">
      <c r="Q268" s="99" t="s">
        <v>4951</v>
      </c>
      <c r="R268" s="95">
        <v>890000</v>
      </c>
      <c r="T268" t="s">
        <v>25</v>
      </c>
    </row>
    <row r="269" spans="17:20">
      <c r="Q269" s="99"/>
      <c r="R269" s="95"/>
      <c r="T269" t="s">
        <v>25</v>
      </c>
    </row>
    <row r="270" spans="17:20">
      <c r="Q270" s="99"/>
      <c r="R270" s="95"/>
    </row>
    <row r="271" spans="17:20">
      <c r="Q271" s="99"/>
      <c r="R271" s="95"/>
      <c r="T271" t="s">
        <v>25</v>
      </c>
    </row>
    <row r="272" spans="17:20">
      <c r="Q272" s="99"/>
      <c r="R272" s="95">
        <f>SUM(R243:R271)</f>
        <v>370206634</v>
      </c>
      <c r="T272" t="s">
        <v>25</v>
      </c>
    </row>
    <row r="273" spans="17:20">
      <c r="Q273" s="99"/>
      <c r="R273" s="99" t="s">
        <v>6</v>
      </c>
    </row>
    <row r="276" spans="17:20">
      <c r="T276" t="s">
        <v>25</v>
      </c>
    </row>
    <row r="277" spans="17:20">
      <c r="T277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42:G1048576 I134:I141 G132:G133 G96:G123">
    <cfRule type="cellIs" dxfId="11" priority="12" operator="lessThan">
      <formula>0</formula>
    </cfRule>
  </conditionalFormatting>
  <conditionalFormatting sqref="G124">
    <cfRule type="cellIs" dxfId="10" priority="11" operator="lessThan">
      <formula>0</formula>
    </cfRule>
  </conditionalFormatting>
  <conditionalFormatting sqref="G127">
    <cfRule type="cellIs" dxfId="9" priority="3" operator="lessThan">
      <formula>0</formula>
    </cfRule>
  </conditionalFormatting>
  <conditionalFormatting sqref="G125">
    <cfRule type="cellIs" dxfId="8" priority="6" operator="lessThan">
      <formula>0</formula>
    </cfRule>
  </conditionalFormatting>
  <conditionalFormatting sqref="G128 G130">
    <cfRule type="cellIs" dxfId="7" priority="4" operator="lessThan">
      <formula>0</formula>
    </cfRule>
  </conditionalFormatting>
  <conditionalFormatting sqref="G131">
    <cfRule type="cellIs" dxfId="6" priority="1" operator="lessThan">
      <formula>0</formula>
    </cfRule>
  </conditionalFormatting>
  <conditionalFormatting sqref="G126">
    <cfRule type="cellIs" dxfId="5" priority="5" operator="lessThan">
      <formula>0</formula>
    </cfRule>
  </conditionalFormatting>
  <conditionalFormatting sqref="G129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68 S101 S107 S110:S112 S115 S121:S122 S117 S132 S37:S38 S146 S144 P2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D67" workbookViewId="0">
      <selection activeCell="J94" sqref="J94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4648</v>
      </c>
      <c r="AE1" s="168" t="s">
        <v>4649</v>
      </c>
      <c r="AF1" s="99" t="s">
        <v>8</v>
      </c>
    </row>
    <row r="2" spans="1:32">
      <c r="A2" s="99" t="s">
        <v>4243</v>
      </c>
      <c r="B2" s="204">
        <v>1707</v>
      </c>
      <c r="C2" s="205" t="s">
        <v>4614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2">
        <v>4</v>
      </c>
      <c r="K5" s="222" t="s">
        <v>4621</v>
      </c>
      <c r="L5" s="223">
        <v>0</v>
      </c>
      <c r="M5" s="222">
        <v>3</v>
      </c>
      <c r="N5" s="223">
        <f t="shared" ref="N5" si="3">L5*M5</f>
        <v>0</v>
      </c>
      <c r="O5" s="224" t="s">
        <v>4625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4626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4631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4631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4631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4633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4638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4631</v>
      </c>
      <c r="X8" s="168" t="s">
        <v>1086</v>
      </c>
      <c r="Y8" s="113">
        <v>4183832</v>
      </c>
      <c r="Z8" s="168">
        <f t="shared" si="4"/>
        <v>3.2966189847011065</v>
      </c>
      <c r="AA8" s="212" t="s">
        <v>4537</v>
      </c>
      <c r="AB8" s="113">
        <v>4500</v>
      </c>
      <c r="AC8" s="168">
        <v>3065</v>
      </c>
      <c r="AD8" s="212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4638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4638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4638</v>
      </c>
      <c r="X10" s="168" t="s">
        <v>1086</v>
      </c>
      <c r="Y10" s="113">
        <v>4186993</v>
      </c>
      <c r="Z10" s="168">
        <f t="shared" si="4"/>
        <v>3.0092622557525175</v>
      </c>
      <c r="AA10" s="219" t="s">
        <v>4395</v>
      </c>
      <c r="AB10" s="113">
        <v>5249.9</v>
      </c>
      <c r="AC10" s="168">
        <v>2400</v>
      </c>
      <c r="AD10" s="219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4641</v>
      </c>
      <c r="X11" s="168" t="s">
        <v>1086</v>
      </c>
      <c r="Y11" s="113">
        <v>4223698</v>
      </c>
      <c r="Z11" s="168">
        <f t="shared" si="4"/>
        <v>11.463347995050782</v>
      </c>
      <c r="AA11" s="219" t="s">
        <v>4395</v>
      </c>
      <c r="AB11" s="113">
        <v>5330</v>
      </c>
      <c r="AC11" s="168">
        <v>9084</v>
      </c>
      <c r="AD11" s="219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689192</v>
      </c>
      <c r="C12" s="169"/>
      <c r="D12" s="59" t="s">
        <v>4891</v>
      </c>
      <c r="F12" s="114">
        <v>0</v>
      </c>
      <c r="J12" s="168">
        <v>11</v>
      </c>
      <c r="K12" s="168" t="s">
        <v>4668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4641</v>
      </c>
      <c r="X12" s="168" t="s">
        <v>1086</v>
      </c>
      <c r="Y12" s="113">
        <v>4223698</v>
      </c>
      <c r="Z12" s="168">
        <f t="shared" si="4"/>
        <v>9.4380816762940896</v>
      </c>
      <c r="AA12" s="225" t="s">
        <v>4410</v>
      </c>
      <c r="AB12" s="113">
        <v>498.9</v>
      </c>
      <c r="AC12" s="168">
        <v>79903</v>
      </c>
      <c r="AD12" s="225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4668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4657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4616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4684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4657</v>
      </c>
      <c r="X14" s="168" t="s">
        <v>1086</v>
      </c>
      <c r="Y14" s="113">
        <v>4369699</v>
      </c>
      <c r="Z14" s="168">
        <f t="shared" si="4"/>
        <v>8.608136716052984</v>
      </c>
      <c r="AA14" s="219" t="s">
        <v>4395</v>
      </c>
      <c r="AB14" s="113">
        <v>5393.6</v>
      </c>
      <c r="AC14" s="168">
        <v>6974</v>
      </c>
      <c r="AD14" s="219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689192</v>
      </c>
      <c r="J15" s="168">
        <v>14</v>
      </c>
      <c r="K15" s="168" t="s">
        <v>4684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4674</v>
      </c>
      <c r="X15" s="168" t="s">
        <v>1086</v>
      </c>
      <c r="Y15" s="113">
        <v>4374000</v>
      </c>
      <c r="Z15" s="168">
        <f t="shared" si="4"/>
        <v>2.0343806584362141</v>
      </c>
      <c r="AA15" s="219" t="s">
        <v>4395</v>
      </c>
      <c r="AB15" s="117">
        <v>5179.5</v>
      </c>
      <c r="AC15" s="19">
        <v>1718</v>
      </c>
      <c r="AD15" s="219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3">
        <v>15</v>
      </c>
      <c r="K16" s="213" t="s">
        <v>4688</v>
      </c>
      <c r="L16" s="169">
        <v>4433930</v>
      </c>
      <c r="M16" s="213">
        <v>1.5</v>
      </c>
      <c r="N16" s="113">
        <f>L16*M16</f>
        <v>6650895</v>
      </c>
      <c r="O16" s="99" t="s">
        <v>751</v>
      </c>
      <c r="W16" s="168" t="s">
        <v>4688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3">
        <v>16</v>
      </c>
      <c r="K17" s="213" t="s">
        <v>4688</v>
      </c>
      <c r="L17" s="169">
        <v>4433930</v>
      </c>
      <c r="M17" s="213">
        <v>1.5</v>
      </c>
      <c r="N17" s="113">
        <f>L17*M17</f>
        <v>6650895</v>
      </c>
      <c r="O17" s="99" t="s">
        <v>452</v>
      </c>
      <c r="W17" s="214" t="s">
        <v>4688</v>
      </c>
      <c r="X17" s="214" t="s">
        <v>1086</v>
      </c>
      <c r="Y17" s="113">
        <v>4367053</v>
      </c>
      <c r="Z17" s="214">
        <f t="shared" si="4"/>
        <v>0.12751793944337292</v>
      </c>
      <c r="AA17" s="225" t="s">
        <v>4410</v>
      </c>
      <c r="AB17" s="117">
        <v>508.1</v>
      </c>
      <c r="AC17" s="19">
        <v>1096</v>
      </c>
      <c r="AD17" s="225">
        <f>Y17/AB17</f>
        <v>8594.8691202519185</v>
      </c>
      <c r="AE17" s="214">
        <f t="shared" si="2"/>
        <v>1.1634848489358842E-4</v>
      </c>
      <c r="AF17" s="99"/>
    </row>
    <row r="18" spans="1:32">
      <c r="A18" s="96"/>
      <c r="B18" s="96"/>
      <c r="C18" s="96"/>
      <c r="D18" s="96"/>
      <c r="J18" s="216">
        <v>17</v>
      </c>
      <c r="K18" s="216" t="s">
        <v>4725</v>
      </c>
      <c r="L18" s="169">
        <v>4291628</v>
      </c>
      <c r="M18" s="216">
        <v>0.5</v>
      </c>
      <c r="N18" s="113">
        <v>2145814</v>
      </c>
      <c r="O18" s="99" t="s">
        <v>751</v>
      </c>
      <c r="W18" s="168" t="s">
        <v>4711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6">
        <v>18</v>
      </c>
      <c r="K19" s="216" t="s">
        <v>4725</v>
      </c>
      <c r="L19" s="169">
        <v>4291628</v>
      </c>
      <c r="M19" s="216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4711</v>
      </c>
      <c r="X19" s="168" t="s">
        <v>1086</v>
      </c>
      <c r="Y19" s="113">
        <v>4433930</v>
      </c>
      <c r="Z19" s="168">
        <f t="shared" si="4"/>
        <v>0.13984559972755545</v>
      </c>
      <c r="AA19" s="225" t="s">
        <v>4410</v>
      </c>
      <c r="AB19" s="117">
        <v>503.3</v>
      </c>
      <c r="AC19" s="19">
        <v>1232</v>
      </c>
      <c r="AD19" s="225">
        <f t="shared" si="6"/>
        <v>8809.7158752235246</v>
      </c>
      <c r="AE19" s="168">
        <f t="shared" si="2"/>
        <v>1.1351103873989892E-4</v>
      </c>
      <c r="AF19" s="99"/>
    </row>
    <row r="20" spans="1:32">
      <c r="J20" s="216">
        <v>19</v>
      </c>
      <c r="K20" s="216" t="s">
        <v>4740</v>
      </c>
      <c r="L20" s="169">
        <v>4369730</v>
      </c>
      <c r="M20" s="216">
        <v>1</v>
      </c>
      <c r="N20" s="113">
        <f t="shared" ref="N20:N36" si="7">L20*M20</f>
        <v>4369730</v>
      </c>
      <c r="O20" s="99" t="s">
        <v>751</v>
      </c>
      <c r="W20" s="168" t="s">
        <v>4718</v>
      </c>
      <c r="X20" s="168" t="s">
        <v>1086</v>
      </c>
      <c r="Y20" s="113">
        <v>4183832</v>
      </c>
      <c r="Z20" s="216">
        <v>0.24415416297786335</v>
      </c>
      <c r="AA20" s="225" t="s">
        <v>4410</v>
      </c>
      <c r="AB20" s="117">
        <v>501.2</v>
      </c>
      <c r="AC20" s="19">
        <f>Y20*Z20/AB20</f>
        <v>2038.1085395051875</v>
      </c>
      <c r="AD20" s="225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6">
        <v>20</v>
      </c>
      <c r="K21" s="216" t="s">
        <v>4740</v>
      </c>
      <c r="L21" s="169">
        <v>4369730</v>
      </c>
      <c r="M21" s="216">
        <v>1</v>
      </c>
      <c r="N21" s="113">
        <f t="shared" si="7"/>
        <v>4369730</v>
      </c>
      <c r="O21" s="99" t="s">
        <v>452</v>
      </c>
      <c r="R21" t="s">
        <v>25</v>
      </c>
      <c r="W21" s="216" t="s">
        <v>4725</v>
      </c>
      <c r="X21" s="216" t="s">
        <v>1086</v>
      </c>
      <c r="Y21" s="113">
        <v>4183832</v>
      </c>
      <c r="Z21" s="216">
        <v>0.23385260211213069</v>
      </c>
      <c r="AA21" s="225" t="s">
        <v>4410</v>
      </c>
      <c r="AB21" s="117">
        <v>481.7</v>
      </c>
      <c r="AC21" s="19">
        <f>Y21*Z21/AB21</f>
        <v>2031.1397135146358</v>
      </c>
      <c r="AD21" s="225">
        <f t="shared" si="8"/>
        <v>8685.555324891011</v>
      </c>
      <c r="AE21" s="216">
        <f t="shared" si="2"/>
        <v>1.1513368605622787E-4</v>
      </c>
      <c r="AF21" s="99"/>
    </row>
    <row r="22" spans="1:32">
      <c r="J22" s="168">
        <v>21</v>
      </c>
      <c r="K22" s="168" t="s">
        <v>4741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6" t="s">
        <v>4728</v>
      </c>
      <c r="X22" s="216" t="s">
        <v>1086</v>
      </c>
      <c r="Y22" s="113">
        <v>4291628</v>
      </c>
      <c r="Z22" s="216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6">
        <f t="shared" si="2"/>
        <v>7.2604149287869312E-4</v>
      </c>
      <c r="AF22" s="99"/>
    </row>
    <row r="23" spans="1:32">
      <c r="A23" s="99" t="s">
        <v>180</v>
      </c>
      <c r="B23" s="99" t="s">
        <v>4734</v>
      </c>
      <c r="C23" s="99" t="s">
        <v>4735</v>
      </c>
      <c r="D23" s="99" t="s">
        <v>4736</v>
      </c>
      <c r="E23" s="69" t="s">
        <v>4737</v>
      </c>
      <c r="J23" s="216">
        <v>22</v>
      </c>
      <c r="K23" s="216" t="s">
        <v>4741</v>
      </c>
      <c r="L23" s="113">
        <v>4398820</v>
      </c>
      <c r="M23" s="216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4728</v>
      </c>
      <c r="X23" s="168" t="s">
        <v>1086</v>
      </c>
      <c r="Y23" s="113">
        <v>4291628</v>
      </c>
      <c r="Z23" s="216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4674</v>
      </c>
      <c r="B24" s="95">
        <v>4080000</v>
      </c>
      <c r="C24" s="95">
        <v>4200000</v>
      </c>
      <c r="D24" s="95"/>
      <c r="E24" s="95"/>
      <c r="J24" s="222">
        <v>23</v>
      </c>
      <c r="K24" s="222" t="s">
        <v>4741</v>
      </c>
      <c r="L24" s="223">
        <v>4388600</v>
      </c>
      <c r="M24" s="222">
        <v>5</v>
      </c>
      <c r="N24" s="223">
        <f t="shared" si="7"/>
        <v>21943000</v>
      </c>
      <c r="O24" s="224" t="s">
        <v>4756</v>
      </c>
      <c r="W24" s="216" t="s">
        <v>4741</v>
      </c>
      <c r="X24" s="216" t="s">
        <v>1086</v>
      </c>
      <c r="Y24" s="113">
        <v>4369730</v>
      </c>
      <c r="Z24" s="216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6">
        <f t="shared" si="2"/>
        <v>7.1411734821144558E-4</v>
      </c>
      <c r="AF24" s="99"/>
    </row>
    <row r="25" spans="1:32">
      <c r="A25" s="99" t="s">
        <v>4684</v>
      </c>
      <c r="B25" s="95">
        <v>4100000</v>
      </c>
      <c r="C25" s="95">
        <v>4230000</v>
      </c>
      <c r="D25" s="95"/>
      <c r="E25" s="95"/>
      <c r="J25" s="216">
        <v>24</v>
      </c>
      <c r="K25" s="216" t="s">
        <v>4744</v>
      </c>
      <c r="L25" s="113">
        <v>4445103</v>
      </c>
      <c r="M25" s="216">
        <v>1.5</v>
      </c>
      <c r="N25" s="113">
        <f t="shared" si="7"/>
        <v>6667654.5</v>
      </c>
      <c r="O25" s="99" t="s">
        <v>751</v>
      </c>
      <c r="W25" s="216" t="s">
        <v>4744</v>
      </c>
      <c r="X25" s="216" t="s">
        <v>1086</v>
      </c>
      <c r="Y25" s="113">
        <v>4398820</v>
      </c>
      <c r="Z25" s="216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6">
        <f t="shared" si="2"/>
        <v>7.0755338931804436E-4</v>
      </c>
      <c r="AF25" s="99"/>
    </row>
    <row r="26" spans="1:32">
      <c r="A26" s="99" t="s">
        <v>4688</v>
      </c>
      <c r="B26" s="95">
        <v>4230000</v>
      </c>
      <c r="C26" s="95">
        <v>4330000</v>
      </c>
      <c r="D26" s="95">
        <v>12200</v>
      </c>
      <c r="E26" s="95">
        <v>12350</v>
      </c>
      <c r="J26" s="216">
        <v>25</v>
      </c>
      <c r="K26" s="216" t="s">
        <v>4744</v>
      </c>
      <c r="L26" s="113">
        <v>4445103</v>
      </c>
      <c r="M26" s="216">
        <v>1.5</v>
      </c>
      <c r="N26" s="113">
        <f t="shared" si="7"/>
        <v>6667654.5</v>
      </c>
      <c r="O26" s="99" t="s">
        <v>452</v>
      </c>
      <c r="R26" t="s">
        <v>25</v>
      </c>
      <c r="W26" s="216" t="s">
        <v>4755</v>
      </c>
      <c r="X26" s="216" t="s">
        <v>1086</v>
      </c>
      <c r="Y26" s="113">
        <v>4445103</v>
      </c>
      <c r="Z26" s="216">
        <f>AB26*AC26/Y26</f>
        <v>1.8767484128039327</v>
      </c>
      <c r="AA26" s="225" t="s">
        <v>4410</v>
      </c>
      <c r="AB26" s="117">
        <v>489</v>
      </c>
      <c r="AC26" s="19">
        <v>17060</v>
      </c>
      <c r="AD26" s="225">
        <f t="shared" si="8"/>
        <v>9090.1901840490791</v>
      </c>
      <c r="AE26" s="216">
        <f t="shared" si="2"/>
        <v>1.1000869946095737E-4</v>
      </c>
      <c r="AF26" s="99"/>
    </row>
    <row r="27" spans="1:32">
      <c r="A27" s="99" t="s">
        <v>4711</v>
      </c>
      <c r="B27" s="95">
        <v>4270000</v>
      </c>
      <c r="C27" s="95">
        <v>4370000</v>
      </c>
      <c r="D27" s="95"/>
      <c r="E27" s="95"/>
      <c r="J27" s="216">
        <v>26</v>
      </c>
      <c r="K27" s="216" t="s">
        <v>4755</v>
      </c>
      <c r="L27" s="113">
        <v>4490623</v>
      </c>
      <c r="M27" s="216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6" t="s">
        <v>3684</v>
      </c>
      <c r="X27" s="216" t="s">
        <v>1086</v>
      </c>
      <c r="Y27" s="113">
        <v>4490623</v>
      </c>
      <c r="Z27" s="216">
        <f t="shared" si="9"/>
        <v>3.9795864404560346</v>
      </c>
      <c r="AA27" s="225" t="s">
        <v>4410</v>
      </c>
      <c r="AB27" s="216">
        <v>486.4</v>
      </c>
      <c r="AC27" s="216">
        <v>36741</v>
      </c>
      <c r="AD27" s="225">
        <f t="shared" si="8"/>
        <v>9232.3663651315801</v>
      </c>
      <c r="AE27" s="216">
        <f t="shared" si="2"/>
        <v>1.0831459242960275E-4</v>
      </c>
      <c r="AF27" s="99"/>
    </row>
    <row r="28" spans="1:32">
      <c r="A28" s="99" t="s">
        <v>4725</v>
      </c>
      <c r="B28" s="95">
        <v>3980000</v>
      </c>
      <c r="C28" s="95">
        <v>4120000</v>
      </c>
      <c r="D28" s="95">
        <v>11450</v>
      </c>
      <c r="E28" s="95">
        <v>11650</v>
      </c>
      <c r="J28" s="216">
        <v>27</v>
      </c>
      <c r="K28" s="216" t="s">
        <v>4755</v>
      </c>
      <c r="L28" s="113">
        <v>4490623</v>
      </c>
      <c r="M28" s="216">
        <v>2</v>
      </c>
      <c r="N28" s="113">
        <f t="shared" si="7"/>
        <v>8981246</v>
      </c>
      <c r="O28" s="99" t="s">
        <v>452</v>
      </c>
      <c r="W28" s="216" t="s">
        <v>4768</v>
      </c>
      <c r="X28" s="216" t="s">
        <v>1086</v>
      </c>
      <c r="Y28" s="113">
        <v>4590878</v>
      </c>
      <c r="Z28" s="216">
        <f t="shared" si="9"/>
        <v>2.0741130563696095</v>
      </c>
      <c r="AA28" s="211" t="s">
        <v>4410</v>
      </c>
      <c r="AB28" s="216">
        <v>476.1</v>
      </c>
      <c r="AC28" s="216">
        <v>20000</v>
      </c>
      <c r="AD28" s="211">
        <f t="shared" si="8"/>
        <v>9642.6759084225996</v>
      </c>
      <c r="AE28" s="216">
        <f t="shared" si="2"/>
        <v>1.0370565281848048E-4</v>
      </c>
      <c r="AF28" s="99"/>
    </row>
    <row r="29" spans="1:32">
      <c r="A29" s="99" t="s">
        <v>4728</v>
      </c>
      <c r="B29" s="95">
        <v>4120000</v>
      </c>
      <c r="C29" s="95">
        <v>4230000</v>
      </c>
      <c r="D29" s="95">
        <v>11650</v>
      </c>
      <c r="E29" s="95">
        <v>11750</v>
      </c>
      <c r="J29" s="216">
        <v>28</v>
      </c>
      <c r="K29" s="216" t="s">
        <v>3684</v>
      </c>
      <c r="L29" s="113">
        <v>4590878</v>
      </c>
      <c r="M29" s="216">
        <v>2</v>
      </c>
      <c r="N29" s="113">
        <f t="shared" si="7"/>
        <v>9181756</v>
      </c>
      <c r="O29" s="99" t="s">
        <v>751</v>
      </c>
      <c r="W29" s="216" t="s">
        <v>4768</v>
      </c>
      <c r="X29" s="216" t="s">
        <v>1086</v>
      </c>
      <c r="Y29" s="113">
        <v>4590878</v>
      </c>
      <c r="Z29" s="216">
        <f t="shared" si="9"/>
        <v>2.3602445980921298</v>
      </c>
      <c r="AA29" s="198" t="s">
        <v>4391</v>
      </c>
      <c r="AB29" s="216">
        <v>3095</v>
      </c>
      <c r="AC29" s="216">
        <v>3501</v>
      </c>
      <c r="AD29" s="198">
        <f t="shared" si="8"/>
        <v>1483.3208400646204</v>
      </c>
      <c r="AE29" s="216">
        <f t="shared" si="2"/>
        <v>6.7416298146019129E-4</v>
      </c>
      <c r="AF29" s="99"/>
    </row>
    <row r="30" spans="1:32">
      <c r="A30" s="99" t="s">
        <v>4732</v>
      </c>
      <c r="B30" s="95">
        <v>4170000</v>
      </c>
      <c r="C30" s="95">
        <v>4280000</v>
      </c>
      <c r="D30" s="95">
        <v>11750</v>
      </c>
      <c r="E30" s="95">
        <v>11900</v>
      </c>
      <c r="J30" s="216">
        <v>29</v>
      </c>
      <c r="K30" s="216" t="s">
        <v>3684</v>
      </c>
      <c r="L30" s="113">
        <v>4590878</v>
      </c>
      <c r="M30" s="216">
        <v>2</v>
      </c>
      <c r="N30" s="113">
        <f t="shared" si="7"/>
        <v>9181756</v>
      </c>
      <c r="O30" s="99" t="s">
        <v>452</v>
      </c>
      <c r="R30" t="s">
        <v>25</v>
      </c>
      <c r="W30" s="216" t="s">
        <v>4768</v>
      </c>
      <c r="X30" s="216" t="s">
        <v>1086</v>
      </c>
      <c r="Y30" s="113">
        <v>4590878</v>
      </c>
      <c r="Z30" s="216">
        <f t="shared" si="9"/>
        <v>0.33907971416360883</v>
      </c>
      <c r="AA30" s="228" t="s">
        <v>4243</v>
      </c>
      <c r="AB30" s="117">
        <v>168.8</v>
      </c>
      <c r="AC30" s="19">
        <v>9222</v>
      </c>
      <c r="AD30" s="228">
        <f t="shared" si="8"/>
        <v>27197.14454976303</v>
      </c>
      <c r="AE30" s="216">
        <f t="shared" si="2"/>
        <v>3.6768565838604295E-5</v>
      </c>
      <c r="AF30" s="99"/>
    </row>
    <row r="31" spans="1:32">
      <c r="A31" s="99" t="s">
        <v>4738</v>
      </c>
      <c r="B31" s="95">
        <v>4130000</v>
      </c>
      <c r="C31" s="95">
        <v>4260000</v>
      </c>
      <c r="D31" s="95">
        <v>11850</v>
      </c>
      <c r="E31" s="95">
        <v>11950</v>
      </c>
      <c r="J31" s="216">
        <v>30</v>
      </c>
      <c r="K31" s="216" t="s">
        <v>4768</v>
      </c>
      <c r="L31" s="113">
        <v>4724483</v>
      </c>
      <c r="M31" s="216">
        <v>2.5</v>
      </c>
      <c r="N31" s="113">
        <f t="shared" si="7"/>
        <v>11811207.5</v>
      </c>
      <c r="O31" s="99" t="s">
        <v>751</v>
      </c>
      <c r="W31" s="216" t="s">
        <v>4768</v>
      </c>
      <c r="X31" s="216" t="s">
        <v>1086</v>
      </c>
      <c r="Y31" s="113">
        <v>4590878</v>
      </c>
      <c r="Z31" s="216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6">
        <f t="shared" si="2"/>
        <v>8.4075420867206669E-4</v>
      </c>
      <c r="AF31" s="99"/>
    </row>
    <row r="32" spans="1:32">
      <c r="A32" s="99" t="s">
        <v>4740</v>
      </c>
      <c r="B32" s="95">
        <v>4100000</v>
      </c>
      <c r="C32" s="95">
        <v>4220000</v>
      </c>
      <c r="D32" s="95">
        <v>11800</v>
      </c>
      <c r="E32" s="95">
        <v>11980</v>
      </c>
      <c r="J32" s="216">
        <v>31</v>
      </c>
      <c r="K32" s="216" t="s">
        <v>4768</v>
      </c>
      <c r="L32" s="113">
        <v>4724483</v>
      </c>
      <c r="M32" s="216">
        <v>2.5</v>
      </c>
      <c r="N32" s="113">
        <f t="shared" si="7"/>
        <v>11811207.5</v>
      </c>
      <c r="O32" s="99" t="s">
        <v>452</v>
      </c>
      <c r="W32" s="216" t="s">
        <v>4778</v>
      </c>
      <c r="X32" s="216" t="s">
        <v>1086</v>
      </c>
      <c r="Y32" s="113">
        <v>4445103</v>
      </c>
      <c r="Z32" s="216">
        <f t="shared" si="9"/>
        <v>1.0998433557107676</v>
      </c>
      <c r="AA32" s="192" t="s">
        <v>4391</v>
      </c>
      <c r="AB32" s="117">
        <v>3069</v>
      </c>
      <c r="AC32" s="216">
        <v>1593</v>
      </c>
      <c r="AD32" s="192">
        <f t="shared" si="8"/>
        <v>1448.3880742913002</v>
      </c>
      <c r="AE32" s="216">
        <f t="shared" si="2"/>
        <v>6.9042269661692874E-4</v>
      </c>
      <c r="AF32" s="99" t="s">
        <v>4780</v>
      </c>
    </row>
    <row r="33" spans="1:32">
      <c r="A33" s="99" t="s">
        <v>4741</v>
      </c>
      <c r="B33" s="95">
        <v>4220000</v>
      </c>
      <c r="C33" s="95">
        <v>4320000</v>
      </c>
      <c r="D33" s="95">
        <v>11900</v>
      </c>
      <c r="E33" s="95">
        <v>12050</v>
      </c>
      <c r="J33" s="216">
        <v>32</v>
      </c>
      <c r="K33" s="216" t="s">
        <v>4794</v>
      </c>
      <c r="L33" s="113">
        <v>4852712</v>
      </c>
      <c r="M33" s="216">
        <v>8.5</v>
      </c>
      <c r="N33" s="113">
        <f t="shared" si="7"/>
        <v>41248052</v>
      </c>
      <c r="O33" s="99" t="s">
        <v>751</v>
      </c>
      <c r="W33" s="216" t="s">
        <v>4778</v>
      </c>
      <c r="X33" s="216" t="s">
        <v>1086</v>
      </c>
      <c r="Y33" s="113">
        <v>4724483</v>
      </c>
      <c r="Z33" s="216">
        <f t="shared" si="9"/>
        <v>2.1503257816781223</v>
      </c>
      <c r="AA33" s="193" t="s">
        <v>4391</v>
      </c>
      <c r="AB33" s="117">
        <v>3099.2</v>
      </c>
      <c r="AC33" s="216">
        <v>3278</v>
      </c>
      <c r="AD33" s="193">
        <f t="shared" si="8"/>
        <v>1524.4201729478575</v>
      </c>
      <c r="AE33" s="216">
        <f t="shared" si="2"/>
        <v>6.5598712070717572E-4</v>
      </c>
      <c r="AF33" s="99"/>
    </row>
    <row r="34" spans="1:32">
      <c r="A34" s="99" t="s">
        <v>4744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6">
        <v>33</v>
      </c>
      <c r="K34" s="216" t="s">
        <v>4794</v>
      </c>
      <c r="L34" s="113">
        <v>4852712</v>
      </c>
      <c r="M34" s="216">
        <v>8.5</v>
      </c>
      <c r="N34" s="113">
        <f t="shared" si="7"/>
        <v>41248052</v>
      </c>
      <c r="O34" s="99" t="s">
        <v>452</v>
      </c>
      <c r="W34" s="216" t="s">
        <v>4778</v>
      </c>
      <c r="X34" s="216" t="s">
        <v>1086</v>
      </c>
      <c r="Y34" s="113">
        <v>4724483</v>
      </c>
      <c r="Z34" s="216">
        <f t="shared" si="9"/>
        <v>2.8236157480088302</v>
      </c>
      <c r="AA34" s="5" t="s">
        <v>4538</v>
      </c>
      <c r="AB34" s="117">
        <v>3853.3</v>
      </c>
      <c r="AC34" s="216">
        <v>3462</v>
      </c>
      <c r="AD34" s="5">
        <f t="shared" si="8"/>
        <v>1226.0875094075207</v>
      </c>
      <c r="AE34" s="216">
        <f t="shared" si="2"/>
        <v>8.1560246909556037E-4</v>
      </c>
      <c r="AF34" s="99"/>
    </row>
    <row r="35" spans="1:32">
      <c r="A35" s="99" t="s">
        <v>4755</v>
      </c>
      <c r="B35" s="95">
        <v>4230000</v>
      </c>
      <c r="C35" s="95">
        <v>4370000</v>
      </c>
      <c r="D35" s="95">
        <v>12100</v>
      </c>
      <c r="E35" s="95">
        <v>12250</v>
      </c>
      <c r="J35" s="216">
        <v>34</v>
      </c>
      <c r="K35" s="216" t="s">
        <v>4796</v>
      </c>
      <c r="L35" s="113">
        <v>4977171</v>
      </c>
      <c r="M35" s="216">
        <v>7.5</v>
      </c>
      <c r="N35" s="113">
        <f t="shared" si="7"/>
        <v>37328782.5</v>
      </c>
      <c r="O35" s="99" t="s">
        <v>751</v>
      </c>
      <c r="W35" s="216" t="s">
        <v>4796</v>
      </c>
      <c r="X35" s="216" t="s">
        <v>1086</v>
      </c>
      <c r="Y35" s="113">
        <v>4852712</v>
      </c>
      <c r="Z35" s="216">
        <f t="shared" si="9"/>
        <v>0.69267922761540357</v>
      </c>
      <c r="AA35" s="198" t="s">
        <v>4391</v>
      </c>
      <c r="AB35" s="117">
        <v>3324.8</v>
      </c>
      <c r="AC35" s="216">
        <v>1011</v>
      </c>
      <c r="AD35" s="198">
        <f t="shared" si="8"/>
        <v>1459.5500481231952</v>
      </c>
      <c r="AE35" s="216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6">
        <v>35</v>
      </c>
      <c r="K36" s="216" t="s">
        <v>4796</v>
      </c>
      <c r="L36" s="113">
        <v>4977171</v>
      </c>
      <c r="M36" s="216">
        <v>7.5</v>
      </c>
      <c r="N36" s="113">
        <f t="shared" si="7"/>
        <v>37328782.5</v>
      </c>
      <c r="O36" s="99" t="s">
        <v>452</v>
      </c>
      <c r="R36" s="96"/>
      <c r="W36" s="216" t="s">
        <v>4796</v>
      </c>
      <c r="X36" s="216" t="s">
        <v>1086</v>
      </c>
      <c r="Y36" s="113">
        <v>4852712</v>
      </c>
      <c r="Z36" s="216">
        <f t="shared" si="9"/>
        <v>13.047731721973198</v>
      </c>
      <c r="AA36" s="13" t="s">
        <v>4538</v>
      </c>
      <c r="AB36" s="117">
        <v>4176.3</v>
      </c>
      <c r="AC36" s="216">
        <v>15161</v>
      </c>
      <c r="AD36" s="13">
        <f t="shared" si="8"/>
        <v>1161.9644182649713</v>
      </c>
      <c r="AE36" s="216">
        <f t="shared" si="2"/>
        <v>8.6061155081941813E-4</v>
      </c>
      <c r="AF36" s="99"/>
    </row>
    <row r="37" spans="1:32">
      <c r="A37" s="99" t="s">
        <v>4768</v>
      </c>
      <c r="B37" s="95">
        <v>4370000</v>
      </c>
      <c r="C37" s="95">
        <v>4480000</v>
      </c>
      <c r="D37" s="95">
        <v>12600</v>
      </c>
      <c r="E37" s="95">
        <v>12700</v>
      </c>
      <c r="J37" s="216"/>
      <c r="K37" s="216"/>
      <c r="L37" s="113"/>
      <c r="M37" s="216"/>
      <c r="N37" s="113"/>
      <c r="O37" s="99"/>
      <c r="W37" s="216" t="s">
        <v>4796</v>
      </c>
      <c r="X37" s="216" t="s">
        <v>1086</v>
      </c>
      <c r="Y37" s="113">
        <v>4852712</v>
      </c>
      <c r="Z37" s="216">
        <f t="shared" si="9"/>
        <v>3.1790291490613911</v>
      </c>
      <c r="AA37" s="225" t="s">
        <v>4410</v>
      </c>
      <c r="AB37" s="117">
        <v>525.1</v>
      </c>
      <c r="AC37" s="216">
        <v>29379</v>
      </c>
      <c r="AD37" s="225">
        <f t="shared" si="8"/>
        <v>9241.5006665397068</v>
      </c>
      <c r="AE37" s="216">
        <f t="shared" si="2"/>
        <v>1.0820753426125433E-4</v>
      </c>
      <c r="AF37" s="99"/>
    </row>
    <row r="38" spans="1:32">
      <c r="A38" s="99" t="s">
        <v>4778</v>
      </c>
      <c r="B38" s="95">
        <v>4470000</v>
      </c>
      <c r="C38" s="95">
        <v>4580000</v>
      </c>
      <c r="D38" s="95">
        <v>13050</v>
      </c>
      <c r="E38" s="95">
        <v>13200</v>
      </c>
      <c r="J38" s="216"/>
      <c r="K38" s="216"/>
      <c r="L38" s="113"/>
      <c r="M38" s="216"/>
      <c r="N38" s="113"/>
      <c r="O38" s="99"/>
      <c r="W38" s="216" t="s">
        <v>4806</v>
      </c>
      <c r="X38" s="216" t="s">
        <v>1086</v>
      </c>
      <c r="Y38" s="113">
        <v>4977171</v>
      </c>
      <c r="Z38" s="216">
        <f t="shared" si="9"/>
        <v>6.1346965173589574</v>
      </c>
      <c r="AA38" s="225" t="s">
        <v>4410</v>
      </c>
      <c r="AB38" s="117">
        <v>529.79999999999995</v>
      </c>
      <c r="AC38" s="216">
        <v>57632</v>
      </c>
      <c r="AD38" s="225">
        <f t="shared" si="8"/>
        <v>9394.4337485843716</v>
      </c>
      <c r="AE38" s="216">
        <f t="shared" si="2"/>
        <v>1.0644601119792749E-4</v>
      </c>
      <c r="AF38" s="99"/>
    </row>
    <row r="39" spans="1:32">
      <c r="A39" s="99" t="s">
        <v>4787</v>
      </c>
      <c r="B39" s="95">
        <v>4600000</v>
      </c>
      <c r="C39" s="95">
        <v>4720000</v>
      </c>
      <c r="D39" s="95"/>
      <c r="E39" s="95"/>
      <c r="J39" s="216"/>
      <c r="K39" s="216"/>
      <c r="L39" s="113"/>
      <c r="M39" s="216"/>
      <c r="N39" s="113"/>
      <c r="O39" s="99"/>
      <c r="W39" s="216" t="s">
        <v>4806</v>
      </c>
      <c r="X39" s="216" t="s">
        <v>1086</v>
      </c>
      <c r="Y39" s="113">
        <v>4977171</v>
      </c>
      <c r="Z39" s="216">
        <f t="shared" si="9"/>
        <v>1.084129920390519</v>
      </c>
      <c r="AA39" s="230" t="s">
        <v>4395</v>
      </c>
      <c r="AB39" s="117">
        <v>5395.9</v>
      </c>
      <c r="AC39" s="216">
        <v>1000</v>
      </c>
      <c r="AD39" s="230">
        <f t="shared" si="8"/>
        <v>922.39867306658766</v>
      </c>
      <c r="AE39" s="216">
        <f t="shared" si="2"/>
        <v>1.0841299203905189E-3</v>
      </c>
      <c r="AF39" s="99"/>
    </row>
    <row r="40" spans="1:32">
      <c r="A40" s="99" t="s">
        <v>4794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6" t="s">
        <v>4806</v>
      </c>
      <c r="X40" s="216" t="s">
        <v>1086</v>
      </c>
      <c r="Y40" s="113">
        <v>4977171</v>
      </c>
      <c r="Z40" s="216">
        <f t="shared" si="9"/>
        <v>7.7072195831728516</v>
      </c>
      <c r="AA40" s="225" t="s">
        <v>4391</v>
      </c>
      <c r="AB40" s="117">
        <v>3355.8</v>
      </c>
      <c r="AC40" s="216">
        <v>11431</v>
      </c>
      <c r="AD40" s="225">
        <f t="shared" si="8"/>
        <v>1483.1548364026462</v>
      </c>
      <c r="AE40" s="216">
        <f t="shared" si="2"/>
        <v>6.7423843785957929E-4</v>
      </c>
      <c r="AF40" s="99"/>
    </row>
    <row r="41" spans="1:32">
      <c r="A41" s="99" t="s">
        <v>4796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4" t="s">
        <v>4828</v>
      </c>
      <c r="X41" s="234" t="s">
        <v>4410</v>
      </c>
      <c r="Y41" s="231">
        <v>530.29999999999995</v>
      </c>
      <c r="Z41" s="234">
        <f t="shared" si="9"/>
        <v>24481.99132566472</v>
      </c>
      <c r="AA41" s="234" t="s">
        <v>4395</v>
      </c>
      <c r="AB41" s="234">
        <v>5235</v>
      </c>
      <c r="AC41" s="234">
        <v>2480</v>
      </c>
      <c r="AD41" s="234">
        <f t="shared" si="8"/>
        <v>0.10129894937917859</v>
      </c>
      <c r="AE41" s="234">
        <f t="shared" si="2"/>
        <v>9.8717706958325486</v>
      </c>
      <c r="AF41" s="161"/>
    </row>
    <row r="42" spans="1:32">
      <c r="A42" s="99" t="s">
        <v>4806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6" t="s">
        <v>4844</v>
      </c>
      <c r="X42" s="216" t="s">
        <v>4243</v>
      </c>
      <c r="Y42" s="113">
        <v>185.7</v>
      </c>
      <c r="Z42" s="216">
        <f t="shared" si="9"/>
        <v>9238.0484652665582</v>
      </c>
      <c r="AA42" s="216" t="s">
        <v>4296</v>
      </c>
      <c r="AB42" s="117">
        <v>303.2</v>
      </c>
      <c r="AC42" s="216">
        <v>5658</v>
      </c>
      <c r="AD42" s="216">
        <f t="shared" si="8"/>
        <v>0.61246701846965701</v>
      </c>
      <c r="AE42" s="216">
        <f t="shared" si="2"/>
        <v>1.6327409800753905</v>
      </c>
      <c r="AF42" s="99"/>
    </row>
    <row r="43" spans="1:32">
      <c r="A43" s="99" t="s">
        <v>4816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4458406.2338709673</v>
      </c>
      <c r="S43" t="s">
        <v>25</v>
      </c>
      <c r="W43" s="235" t="s">
        <v>4849</v>
      </c>
      <c r="X43" s="235" t="s">
        <v>4410</v>
      </c>
      <c r="Y43" s="236">
        <v>538.79999999999995</v>
      </c>
      <c r="Z43" s="235">
        <f t="shared" si="9"/>
        <v>4989.5322939866373</v>
      </c>
      <c r="AA43" s="235" t="s">
        <v>4395</v>
      </c>
      <c r="AB43" s="236">
        <v>5160</v>
      </c>
      <c r="AC43" s="235">
        <v>521</v>
      </c>
      <c r="AD43" s="235">
        <f>Y43/AB43</f>
        <v>0.10441860465116279</v>
      </c>
      <c r="AE43" s="235">
        <f t="shared" si="2"/>
        <v>9.5768374164810695</v>
      </c>
      <c r="AF43" s="237"/>
    </row>
    <row r="44" spans="1:32">
      <c r="A44" s="99" t="s">
        <v>4828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6">
        <v>74657561</v>
      </c>
      <c r="R44" t="s">
        <v>25</v>
      </c>
      <c r="W44" s="216" t="s">
        <v>4860</v>
      </c>
      <c r="X44" s="216" t="s">
        <v>4296</v>
      </c>
      <c r="Y44" s="113">
        <v>299.10000000000002</v>
      </c>
      <c r="Z44" s="216">
        <v>5658</v>
      </c>
      <c r="AA44" s="216" t="s">
        <v>4243</v>
      </c>
      <c r="AB44" s="216">
        <v>182.5</v>
      </c>
      <c r="AC44" s="216">
        <v>9173</v>
      </c>
      <c r="AD44" s="216">
        <f>Y44/AB44</f>
        <v>1.6389041095890413</v>
      </c>
      <c r="AE44" s="216">
        <f t="shared" si="2"/>
        <v>0.61016382480775655</v>
      </c>
      <c r="AF44" s="99" t="s">
        <v>4862</v>
      </c>
    </row>
    <row r="45" spans="1:32">
      <c r="A45" s="99" t="s">
        <v>4839</v>
      </c>
      <c r="B45" s="95">
        <v>4500000</v>
      </c>
      <c r="C45" s="95">
        <v>4650000</v>
      </c>
      <c r="D45" s="95">
        <v>13250</v>
      </c>
      <c r="E45" s="95">
        <v>13450</v>
      </c>
      <c r="W45" s="216" t="s">
        <v>4860</v>
      </c>
      <c r="X45" s="216" t="s">
        <v>4395</v>
      </c>
      <c r="Y45" s="113">
        <v>5149.1000000000004</v>
      </c>
      <c r="Z45" s="216">
        <v>290</v>
      </c>
      <c r="AA45" s="216" t="s">
        <v>4538</v>
      </c>
      <c r="AB45" s="216">
        <v>3933</v>
      </c>
      <c r="AC45" s="216">
        <v>375</v>
      </c>
      <c r="AD45" s="216">
        <f>Y45/AB45</f>
        <v>1.3092041698449022</v>
      </c>
      <c r="AE45" s="216">
        <f t="shared" ref="AE45" si="10">AB45/Y45</f>
        <v>0.76382280398516245</v>
      </c>
      <c r="AF45" s="99" t="s">
        <v>25</v>
      </c>
    </row>
    <row r="46" spans="1:32">
      <c r="A46" s="99" t="s">
        <v>4844</v>
      </c>
      <c r="B46" s="95">
        <v>4620000</v>
      </c>
      <c r="C46" s="95">
        <v>4770000</v>
      </c>
      <c r="D46" s="95">
        <v>13600</v>
      </c>
      <c r="E46" s="95">
        <v>13700</v>
      </c>
      <c r="W46" s="216" t="s">
        <v>4889</v>
      </c>
      <c r="X46" s="216" t="s">
        <v>4395</v>
      </c>
      <c r="Y46" s="113">
        <v>5399.3</v>
      </c>
      <c r="Z46" s="216">
        <v>2000</v>
      </c>
      <c r="AA46" s="216" t="s">
        <v>4538</v>
      </c>
      <c r="AB46" s="216">
        <v>4049.8</v>
      </c>
      <c r="AC46" s="216">
        <v>2638</v>
      </c>
      <c r="AD46" s="216">
        <f>Y46/AB46</f>
        <v>1.3332263321645512</v>
      </c>
      <c r="AE46" s="216">
        <f t="shared" ref="AE46" si="11">AB46/Y46</f>
        <v>0.75006019298797988</v>
      </c>
      <c r="AF46" s="99"/>
    </row>
    <row r="47" spans="1:32">
      <c r="A47" s="99" t="s">
        <v>4848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6"/>
      <c r="X47" s="216"/>
      <c r="Y47" s="113"/>
      <c r="Z47" s="216"/>
      <c r="AA47" s="216"/>
      <c r="AB47" s="216"/>
      <c r="AC47" s="216"/>
      <c r="AD47" s="216" t="s">
        <v>25</v>
      </c>
      <c r="AE47" s="216"/>
      <c r="AF47" s="99"/>
    </row>
    <row r="48" spans="1:32">
      <c r="A48" s="99" t="s">
        <v>4849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</f>
        <v>9</v>
      </c>
      <c r="N48" t="s">
        <v>5</v>
      </c>
      <c r="W48" s="216"/>
      <c r="X48" s="216"/>
      <c r="Y48" s="113"/>
      <c r="Z48" s="216"/>
      <c r="AA48" s="216"/>
      <c r="AB48" s="216"/>
      <c r="AC48" s="216"/>
      <c r="AD48" s="216"/>
      <c r="AE48" s="216"/>
      <c r="AF48" s="99"/>
    </row>
    <row r="49" spans="1:32">
      <c r="A49" s="99" t="s">
        <v>4860</v>
      </c>
      <c r="B49" s="95">
        <v>4380000</v>
      </c>
      <c r="C49" s="95">
        <v>4520000</v>
      </c>
      <c r="D49" s="95">
        <v>12750</v>
      </c>
      <c r="E49" s="95">
        <v>12900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4864</v>
      </c>
      <c r="B50" s="95">
        <v>4500000</v>
      </c>
      <c r="C50" s="95">
        <v>4630000</v>
      </c>
      <c r="D50" s="95">
        <v>13200</v>
      </c>
      <c r="E50" s="95">
        <v>13400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4889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4893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4896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4905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4915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4924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4935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/>
      <c r="B59" s="95"/>
      <c r="C59" s="95"/>
      <c r="D59" s="95"/>
      <c r="E59" s="95"/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/>
      <c r="B60" s="95"/>
      <c r="C60" s="95"/>
      <c r="D60" s="95"/>
      <c r="E60" s="95"/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/>
      <c r="B61" s="95"/>
      <c r="C61" s="95"/>
      <c r="D61" s="95"/>
      <c r="E61" s="95"/>
      <c r="AA61" s="96"/>
      <c r="AB61" s="96"/>
      <c r="AC61" s="96"/>
      <c r="AD61" s="96"/>
    </row>
    <row r="62" spans="1:32">
      <c r="A62" s="99"/>
      <c r="B62" s="95"/>
      <c r="C62" s="95"/>
      <c r="D62" s="95"/>
      <c r="E62" s="95"/>
      <c r="W62" s="96"/>
      <c r="X62" s="96"/>
      <c r="Y62" s="96"/>
      <c r="Z62" s="96"/>
      <c r="AA62" s="96"/>
      <c r="AB62" s="96"/>
      <c r="AC62" s="96"/>
      <c r="AD62" s="96"/>
    </row>
    <row r="63" spans="1:32">
      <c r="I63" s="216" t="s">
        <v>8</v>
      </c>
      <c r="J63" s="216" t="s">
        <v>4809</v>
      </c>
      <c r="K63" s="216" t="s">
        <v>180</v>
      </c>
      <c r="L63" s="229" t="s">
        <v>4807</v>
      </c>
      <c r="M63" s="229" t="s">
        <v>4808</v>
      </c>
      <c r="N63" s="216" t="s">
        <v>6</v>
      </c>
      <c r="O63" s="216" t="s">
        <v>4810</v>
      </c>
      <c r="P63" s="216" t="s">
        <v>4830</v>
      </c>
      <c r="W63" s="96"/>
      <c r="X63" s="96"/>
      <c r="Y63" s="96"/>
      <c r="Z63" s="96" t="s">
        <v>4662</v>
      </c>
      <c r="AA63" s="96"/>
      <c r="AB63" s="96"/>
      <c r="AC63" s="96"/>
      <c r="AD63" s="96"/>
    </row>
    <row r="64" spans="1:32">
      <c r="G64" t="s">
        <v>25</v>
      </c>
      <c r="I64" s="216"/>
      <c r="J64" s="216"/>
      <c r="K64" s="216" t="s">
        <v>4741</v>
      </c>
      <c r="L64" s="84">
        <v>535989412</v>
      </c>
      <c r="M64" s="84"/>
      <c r="N64" s="216"/>
      <c r="O64" s="216"/>
      <c r="P64" s="216"/>
      <c r="W64" s="96"/>
      <c r="X64" s="96"/>
      <c r="Y64" s="96"/>
      <c r="Z64" s="96" t="s">
        <v>4663</v>
      </c>
      <c r="AA64" s="210">
        <v>35441</v>
      </c>
      <c r="AB64" s="96"/>
      <c r="AC64" s="96"/>
      <c r="AD64" s="96"/>
    </row>
    <row r="65" spans="2:27" ht="120">
      <c r="D65" s="114">
        <f>B58-B28+L19</f>
        <v>4811628</v>
      </c>
      <c r="I65" s="216"/>
      <c r="J65" s="113">
        <f>L65-L64</f>
        <v>12939932</v>
      </c>
      <c r="K65" s="216" t="s">
        <v>4778</v>
      </c>
      <c r="L65" s="84">
        <v>548929344</v>
      </c>
      <c r="M65" s="84"/>
      <c r="N65" s="216"/>
      <c r="O65" s="216"/>
      <c r="P65" s="216"/>
      <c r="W65" s="96"/>
      <c r="X65" s="22" t="s">
        <v>4666</v>
      </c>
      <c r="Y65" s="22" t="s">
        <v>4665</v>
      </c>
      <c r="Z65" s="22" t="s">
        <v>4664</v>
      </c>
      <c r="AA65" s="22" t="s">
        <v>4667</v>
      </c>
    </row>
    <row r="66" spans="2:27">
      <c r="B66" t="s">
        <v>25</v>
      </c>
      <c r="F66" t="s">
        <v>25</v>
      </c>
      <c r="I66" s="216"/>
      <c r="J66" s="113">
        <f t="shared" ref="J66:J90" si="12">L66-L65</f>
        <v>11531981</v>
      </c>
      <c r="K66" s="216" t="s">
        <v>4787</v>
      </c>
      <c r="L66" s="84">
        <v>560461325</v>
      </c>
      <c r="M66" s="84"/>
      <c r="N66" s="216"/>
      <c r="O66" s="216"/>
      <c r="P66" s="216"/>
    </row>
    <row r="67" spans="2:27">
      <c r="I67" s="216"/>
      <c r="J67" s="113">
        <f t="shared" si="12"/>
        <v>17387769</v>
      </c>
      <c r="K67" s="216" t="s">
        <v>4794</v>
      </c>
      <c r="L67" s="84">
        <v>577849094</v>
      </c>
      <c r="M67" s="84"/>
      <c r="N67" s="216"/>
      <c r="O67" s="216"/>
      <c r="P67" s="216"/>
    </row>
    <row r="68" spans="2:27">
      <c r="D68" t="s">
        <v>25</v>
      </c>
      <c r="E68" t="s">
        <v>25</v>
      </c>
      <c r="I68" s="216"/>
      <c r="J68" s="113">
        <f t="shared" si="12"/>
        <v>11024486</v>
      </c>
      <c r="K68" s="216" t="s">
        <v>4796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2:27">
      <c r="I69" s="216"/>
      <c r="J69" s="113">
        <f t="shared" si="12"/>
        <v>-8942851</v>
      </c>
      <c r="K69" s="216" t="s">
        <v>4806</v>
      </c>
      <c r="L69" s="233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2:27">
      <c r="I70" s="5" t="s">
        <v>4827</v>
      </c>
      <c r="J70" s="35">
        <f t="shared" si="12"/>
        <v>45893629</v>
      </c>
      <c r="K70" s="5" t="s">
        <v>4816</v>
      </c>
      <c r="L70" s="240">
        <v>625824358</v>
      </c>
      <c r="M70" s="240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2:27">
      <c r="I71" s="216"/>
      <c r="J71" s="113">
        <f t="shared" si="12"/>
        <v>3462014</v>
      </c>
      <c r="K71" s="216" t="s">
        <v>4828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2:27">
      <c r="I72" s="216"/>
      <c r="J72" s="113">
        <f t="shared" si="12"/>
        <v>-2687296</v>
      </c>
      <c r="K72" s="216" t="s">
        <v>4844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2:27">
      <c r="I73" s="216"/>
      <c r="J73" s="113">
        <f t="shared" si="12"/>
        <v>-6009466</v>
      </c>
      <c r="K73" s="216" t="s">
        <v>4848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2:27">
      <c r="I74" s="216"/>
      <c r="J74" s="113">
        <f t="shared" si="12"/>
        <v>-1273071</v>
      </c>
      <c r="K74" s="216" t="s">
        <v>4849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2:27">
      <c r="I75" s="216"/>
      <c r="J75" s="113">
        <f t="shared" si="12"/>
        <v>112274</v>
      </c>
      <c r="K75" s="216" t="s">
        <v>4860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2:27">
      <c r="I76" s="216"/>
      <c r="J76" s="113">
        <f t="shared" si="12"/>
        <v>6567221</v>
      </c>
      <c r="K76" s="216" t="s">
        <v>4864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2:27">
      <c r="I77" s="216"/>
      <c r="J77" s="113">
        <f t="shared" si="12"/>
        <v>4477051</v>
      </c>
      <c r="K77" s="216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2:27">
      <c r="F78" t="s">
        <v>25</v>
      </c>
      <c r="I78" s="216"/>
      <c r="J78" s="113">
        <f t="shared" si="12"/>
        <v>6046556</v>
      </c>
      <c r="K78" s="216" t="s">
        <v>4889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2:27">
      <c r="I79" s="216"/>
      <c r="J79" s="113">
        <f t="shared" si="12"/>
        <v>6885870</v>
      </c>
      <c r="K79" s="216" t="s">
        <v>4893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2:27">
      <c r="G80" t="s">
        <v>25</v>
      </c>
      <c r="I80" s="5" t="s">
        <v>4923</v>
      </c>
      <c r="J80" s="35">
        <f t="shared" si="12"/>
        <v>-1984018</v>
      </c>
      <c r="K80" s="5" t="s">
        <v>4896</v>
      </c>
      <c r="L80" s="240">
        <v>641421493</v>
      </c>
      <c r="M80" s="240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6"/>
      <c r="J81" s="113">
        <f t="shared" si="12"/>
        <v>6117877</v>
      </c>
      <c r="K81" s="216" t="s">
        <v>4905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2" t="s">
        <v>4922</v>
      </c>
      <c r="J82" s="86">
        <f t="shared" si="12"/>
        <v>8860702</v>
      </c>
      <c r="K82" s="192" t="s">
        <v>4915</v>
      </c>
      <c r="L82" s="241">
        <v>656400072</v>
      </c>
      <c r="M82" s="241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45">
      <c r="I83" s="242" t="s">
        <v>4933</v>
      </c>
      <c r="J83" s="86">
        <f>L83-L82+31412200</f>
        <v>20439704</v>
      </c>
      <c r="K83" s="192" t="s">
        <v>4924</v>
      </c>
      <c r="L83" s="241">
        <v>645427576</v>
      </c>
      <c r="M83" s="241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4934</v>
      </c>
      <c r="J84" s="189">
        <f t="shared" si="12"/>
        <v>21224293</v>
      </c>
      <c r="K84" s="190" t="s">
        <v>4935</v>
      </c>
      <c r="L84" s="243">
        <v>666651869</v>
      </c>
      <c r="M84" s="243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6"/>
      <c r="J85" s="113">
        <f t="shared" si="12"/>
        <v>9478107</v>
      </c>
      <c r="K85" s="216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6"/>
      <c r="J86" s="113">
        <f t="shared" si="12"/>
        <v>-8249999</v>
      </c>
      <c r="K86" s="216" t="s">
        <v>4949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 ht="30">
      <c r="I87" s="248" t="s">
        <v>4965</v>
      </c>
      <c r="J87" s="197">
        <f>L87-L86-20000</f>
        <v>7878257</v>
      </c>
      <c r="K87" s="191" t="s">
        <v>4964</v>
      </c>
      <c r="L87" s="249">
        <v>675778234</v>
      </c>
      <c r="M87" s="249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6" t="s">
        <v>25</v>
      </c>
      <c r="J88" s="113">
        <f t="shared" si="12"/>
        <v>-675778234</v>
      </c>
      <c r="K88" s="216"/>
      <c r="L88" s="84"/>
      <c r="M88" s="84"/>
      <c r="N88" s="113">
        <f t="shared" si="13"/>
        <v>0</v>
      </c>
      <c r="O88" s="113">
        <f t="shared" si="14"/>
        <v>-302388050</v>
      </c>
      <c r="P88" s="113">
        <f t="shared" si="15"/>
        <v>-978166284</v>
      </c>
    </row>
    <row r="89" spans="6:16">
      <c r="I89" s="216"/>
      <c r="J89" s="113">
        <f t="shared" si="12"/>
        <v>0</v>
      </c>
      <c r="K89" s="216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6:16">
      <c r="I90" s="216"/>
      <c r="J90" s="113">
        <f t="shared" si="12"/>
        <v>0</v>
      </c>
      <c r="K90" s="216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6:16">
      <c r="I91" s="216"/>
      <c r="J91" s="113">
        <f>L91-L75</f>
        <v>-619428813</v>
      </c>
      <c r="K91" s="216"/>
      <c r="L91" s="84">
        <v>0</v>
      </c>
      <c r="M91" s="84"/>
      <c r="N91" s="216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4600</v>
      </c>
      <c r="AA2" s="99" t="s">
        <v>4598</v>
      </c>
      <c r="AB2" s="99" t="s">
        <v>4599</v>
      </c>
      <c r="AC2" s="99" t="s">
        <v>4602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4601</v>
      </c>
      <c r="Z4" s="99">
        <v>1</v>
      </c>
      <c r="AA4" s="99">
        <v>1</v>
      </c>
      <c r="AB4" s="99">
        <f t="shared" si="0"/>
        <v>1</v>
      </c>
      <c r="AC4" s="99" t="s">
        <v>4603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AgentBased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2019-03-27T08:27:33Z</dcterms:modified>
</cp:coreProperties>
</file>