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4" activeTab="32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I24" i="33" l="1"/>
  <c r="C3" i="33"/>
  <c r="B9" i="33"/>
  <c r="AA7" i="32"/>
  <c r="F73" i="32"/>
  <c r="F81" i="32"/>
  <c r="N28" i="18"/>
  <c r="N27" i="18"/>
  <c r="T4" i="33" l="1"/>
  <c r="S49" i="32" l="1"/>
  <c r="S51" i="32"/>
  <c r="S53" i="32"/>
  <c r="S54" i="32"/>
  <c r="S55" i="32"/>
  <c r="S56" i="32"/>
  <c r="S57" i="32"/>
  <c r="S58" i="32"/>
  <c r="S59" i="32"/>
  <c r="S60" i="32"/>
  <c r="S61" i="32"/>
  <c r="S62" i="32"/>
  <c r="S63" i="32"/>
  <c r="AA4" i="32"/>
  <c r="AA5" i="32" s="1"/>
  <c r="AA6" i="32" s="1"/>
  <c r="T17" i="33"/>
  <c r="E25" i="33" l="1"/>
  <c r="V13" i="33"/>
  <c r="E2" i="33"/>
  <c r="I52" i="32" l="1"/>
  <c r="G29" i="33"/>
  <c r="G26" i="33"/>
  <c r="G24" i="33"/>
  <c r="G17" i="33"/>
  <c r="G27" i="33"/>
  <c r="G19" i="33"/>
  <c r="G20" i="33"/>
  <c r="G21" i="33"/>
  <c r="G22" i="33"/>
  <c r="G23" i="33"/>
  <c r="G18" i="33"/>
  <c r="W2" i="33" l="1"/>
  <c r="P2" i="33" s="1"/>
  <c r="E29" i="33"/>
  <c r="C29" i="33" s="1"/>
  <c r="E28" i="33"/>
  <c r="C28" i="33" s="1"/>
  <c r="E26" i="33"/>
  <c r="C26" i="33" s="1"/>
  <c r="E16" i="33"/>
  <c r="C16" i="33" s="1"/>
  <c r="E15" i="33"/>
  <c r="C15" i="33" s="1"/>
  <c r="E14" i="33"/>
  <c r="C14" i="33" s="1"/>
  <c r="E13" i="33"/>
  <c r="C13" i="33" s="1"/>
  <c r="E11" i="33"/>
  <c r="C11" i="33" s="1"/>
  <c r="E10" i="33"/>
  <c r="C10" i="33" s="1"/>
  <c r="E9" i="33"/>
  <c r="C9" i="33" s="1"/>
  <c r="E7" i="33"/>
  <c r="C7" i="33" s="1"/>
  <c r="E5" i="33"/>
  <c r="C5" i="33" s="1"/>
  <c r="E24" i="33"/>
  <c r="C24" i="33" s="1"/>
  <c r="E27" i="33"/>
  <c r="I27" i="33" s="1"/>
  <c r="E12" i="33"/>
  <c r="C12" i="33" s="1"/>
  <c r="E8" i="33"/>
  <c r="C8" i="33" s="1"/>
  <c r="E6" i="33"/>
  <c r="C6" i="33" s="1"/>
  <c r="E4" i="33"/>
  <c r="C4" i="33" s="1"/>
  <c r="E3" i="33"/>
  <c r="C2" i="33"/>
  <c r="C25" i="33"/>
  <c r="E23" i="33"/>
  <c r="C23" i="33" s="1"/>
  <c r="E22" i="33"/>
  <c r="C22" i="33" s="1"/>
  <c r="E21" i="33"/>
  <c r="C21" i="33" s="1"/>
  <c r="E20" i="33"/>
  <c r="C20" i="33" s="1"/>
  <c r="E19" i="33"/>
  <c r="C19" i="33" s="1"/>
  <c r="E18" i="33"/>
  <c r="C18" i="33" s="1"/>
  <c r="E17" i="33"/>
  <c r="C27" i="33" l="1"/>
  <c r="B17" i="33"/>
  <c r="L17" i="33" s="1"/>
  <c r="C17" i="33"/>
  <c r="B15" i="33"/>
  <c r="L15" i="33" s="1"/>
  <c r="I15" i="33"/>
  <c r="I17" i="33"/>
  <c r="B2" i="33"/>
  <c r="L2" i="33" s="1"/>
  <c r="I2" i="33"/>
  <c r="B5" i="33"/>
  <c r="L5" i="33" s="1"/>
  <c r="I5" i="33"/>
  <c r="B16" i="33"/>
  <c r="L16" i="33" s="1"/>
  <c r="I16" i="33"/>
  <c r="B3" i="33"/>
  <c r="L3" i="33" s="1"/>
  <c r="I3" i="33"/>
  <c r="B4" i="33"/>
  <c r="L4" i="33" s="1"/>
  <c r="I4" i="33"/>
  <c r="B25" i="33"/>
  <c r="L25" i="33" s="1"/>
  <c r="I25" i="33"/>
  <c r="B26" i="33"/>
  <c r="L26" i="33" s="1"/>
  <c r="I26" i="33"/>
  <c r="L9" i="33"/>
  <c r="I9" i="33"/>
  <c r="B29" i="33"/>
  <c r="L29" i="33" s="1"/>
  <c r="I29" i="33"/>
  <c r="B22" i="33"/>
  <c r="L22" i="33" s="1"/>
  <c r="I22" i="33"/>
  <c r="B13" i="33"/>
  <c r="L13" i="33" s="1"/>
  <c r="I13" i="33"/>
  <c r="B24" i="33"/>
  <c r="L24" i="33" s="1"/>
  <c r="B18" i="33"/>
  <c r="L18" i="33" s="1"/>
  <c r="I18" i="33"/>
  <c r="B7" i="33"/>
  <c r="L7" i="33" s="1"/>
  <c r="I7" i="33"/>
  <c r="B19" i="33"/>
  <c r="L19" i="33" s="1"/>
  <c r="I19" i="33"/>
  <c r="B28" i="33"/>
  <c r="L28" i="33" s="1"/>
  <c r="I28" i="33"/>
  <c r="B20" i="33"/>
  <c r="L20" i="33" s="1"/>
  <c r="I20" i="33"/>
  <c r="B6" i="33"/>
  <c r="L6" i="33" s="1"/>
  <c r="I6" i="33"/>
  <c r="B10" i="33"/>
  <c r="L10" i="33" s="1"/>
  <c r="I10" i="33"/>
  <c r="B21" i="33"/>
  <c r="L21" i="33" s="1"/>
  <c r="I21" i="33"/>
  <c r="B8" i="33"/>
  <c r="L8" i="33" s="1"/>
  <c r="I8" i="33"/>
  <c r="B11" i="33"/>
  <c r="L11" i="33" s="1"/>
  <c r="I11" i="33"/>
  <c r="B12" i="33"/>
  <c r="L12" i="33" s="1"/>
  <c r="I12" i="33"/>
  <c r="B23" i="33"/>
  <c r="L23" i="33" s="1"/>
  <c r="I23" i="33"/>
  <c r="B14" i="33"/>
  <c r="L14" i="33" s="1"/>
  <c r="I14" i="33"/>
  <c r="B27" i="33"/>
  <c r="L27" i="33" s="1"/>
  <c r="K78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I30" i="34" l="1"/>
  <c r="F74" i="32"/>
  <c r="F75" i="32"/>
  <c r="P53" i="32"/>
  <c r="O53" i="32"/>
  <c r="Q53" i="32" s="1"/>
  <c r="I53" i="32"/>
  <c r="K52" i="32"/>
  <c r="S52" i="32" s="1"/>
  <c r="L52" i="32" s="1"/>
  <c r="K7" i="32"/>
  <c r="K6" i="32"/>
  <c r="K9" i="32"/>
  <c r="S9" i="32" s="1"/>
  <c r="R53" i="32"/>
  <c r="M39" i="32"/>
  <c r="Q39" i="32" s="1"/>
  <c r="M17" i="32"/>
  <c r="Q17" i="32" s="1"/>
  <c r="M47" i="32"/>
  <c r="P47" i="32" s="1"/>
  <c r="K47" i="32"/>
  <c r="S47" i="32" s="1"/>
  <c r="K46" i="32"/>
  <c r="S46" i="32" s="1"/>
  <c r="I46" i="32"/>
  <c r="L46" i="32" s="1"/>
  <c r="M45" i="32"/>
  <c r="Q45" i="32" s="1"/>
  <c r="K45" i="32"/>
  <c r="S45" i="32" s="1"/>
  <c r="K44" i="32"/>
  <c r="S44" i="32" s="1"/>
  <c r="I44" i="32"/>
  <c r="L44" i="32" s="1"/>
  <c r="M43" i="32"/>
  <c r="Q43" i="32" s="1"/>
  <c r="K43" i="32"/>
  <c r="S43" i="32" s="1"/>
  <c r="K42" i="32"/>
  <c r="S42" i="32" s="1"/>
  <c r="I42" i="32"/>
  <c r="L42" i="32" s="1"/>
  <c r="M41" i="32"/>
  <c r="Q41" i="32" s="1"/>
  <c r="K41" i="32"/>
  <c r="S41" i="32" s="1"/>
  <c r="K40" i="32"/>
  <c r="S40" i="32" s="1"/>
  <c r="I40" i="32"/>
  <c r="L40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50" i="32"/>
  <c r="I50" i="32"/>
  <c r="M23" i="32"/>
  <c r="Q23" i="32" s="1"/>
  <c r="K23" i="32"/>
  <c r="S23" i="32" s="1"/>
  <c r="K22" i="32"/>
  <c r="S22" i="32" s="1"/>
  <c r="I22" i="32"/>
  <c r="M7" i="32"/>
  <c r="B202" i="15"/>
  <c r="B127" i="13"/>
  <c r="S50" i="32" l="1"/>
  <c r="F77" i="32" s="1"/>
  <c r="L36" i="32"/>
  <c r="L26" i="32"/>
  <c r="L20" i="32"/>
  <c r="L18" i="32"/>
  <c r="L16" i="32"/>
  <c r="L50" i="32"/>
  <c r="L24" i="32"/>
  <c r="L22" i="32"/>
  <c r="L38" i="32"/>
  <c r="P17" i="32"/>
  <c r="Q47" i="32"/>
  <c r="Q21" i="32"/>
  <c r="P19" i="32"/>
  <c r="P45" i="32"/>
  <c r="P43" i="32"/>
  <c r="P41" i="32"/>
  <c r="P39" i="32"/>
  <c r="P23" i="32"/>
  <c r="P37" i="32"/>
  <c r="P11" i="32"/>
  <c r="P27" i="32"/>
  <c r="P25" i="32"/>
  <c r="K48" i="32" l="1"/>
  <c r="AF9" i="32"/>
  <c r="AF10" i="32"/>
  <c r="AF11" i="32"/>
  <c r="AE5" i="32"/>
  <c r="AE8" i="32"/>
  <c r="AE9" i="32"/>
  <c r="AE10" i="32"/>
  <c r="AE11" i="32"/>
  <c r="S48" i="32" l="1"/>
  <c r="F76" i="32" s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65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48" i="32"/>
  <c r="L48" i="32" s="1"/>
  <c r="I49" i="32"/>
  <c r="I2" i="32"/>
  <c r="P49" i="32"/>
  <c r="O49" i="32"/>
  <c r="Q49" i="32" s="1"/>
  <c r="O7" i="32"/>
  <c r="Q7" i="32" s="1"/>
  <c r="W12" i="32"/>
  <c r="O15" i="32"/>
  <c r="O13" i="32"/>
  <c r="O9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B8" i="32"/>
  <c r="AG8" i="32" s="1"/>
  <c r="AB9" i="32"/>
  <c r="AG9" i="32" s="1"/>
  <c r="AB10" i="32"/>
  <c r="AB4" i="32"/>
  <c r="L14" i="32" l="1"/>
  <c r="S14" i="32"/>
  <c r="AB5" i="32"/>
  <c r="AG5" i="32" s="1"/>
  <c r="AG4" i="32"/>
  <c r="AC4" i="32"/>
  <c r="P9" i="32"/>
  <c r="Q9" i="32"/>
  <c r="P5" i="33"/>
  <c r="AD5" i="32" l="1"/>
  <c r="AB7" i="32"/>
  <c r="AB6" i="32"/>
  <c r="AE4" i="32"/>
  <c r="AF5" i="32"/>
  <c r="P44" i="33"/>
  <c r="P28" i="33"/>
  <c r="P20" i="33"/>
  <c r="P12" i="33"/>
  <c r="P3" i="33"/>
  <c r="P43" i="33"/>
  <c r="P35" i="33"/>
  <c r="P27" i="33"/>
  <c r="P19" i="33"/>
  <c r="P11" i="33"/>
  <c r="R2" i="33"/>
  <c r="P42" i="33"/>
  <c r="P34" i="33"/>
  <c r="P26" i="33"/>
  <c r="P18" i="33"/>
  <c r="P10" i="33"/>
  <c r="P49" i="33"/>
  <c r="P41" i="33"/>
  <c r="P33" i="33"/>
  <c r="P25" i="33"/>
  <c r="P17" i="33"/>
  <c r="P9" i="33"/>
  <c r="P48" i="33"/>
  <c r="P40" i="33"/>
  <c r="P32" i="33"/>
  <c r="P24" i="33"/>
  <c r="P16" i="33"/>
  <c r="P8" i="33"/>
  <c r="P7" i="33"/>
  <c r="P36" i="33"/>
  <c r="P47" i="33"/>
  <c r="P39" i="33"/>
  <c r="P31" i="33"/>
  <c r="P23" i="33"/>
  <c r="P15" i="33"/>
  <c r="P4" i="33"/>
  <c r="P46" i="33"/>
  <c r="P38" i="33"/>
  <c r="P30" i="33"/>
  <c r="P22" i="33"/>
  <c r="P14" i="33"/>
  <c r="P6" i="33"/>
  <c r="P45" i="33"/>
  <c r="P37" i="33"/>
  <c r="P29" i="33"/>
  <c r="P21" i="33"/>
  <c r="P13" i="33"/>
  <c r="Q1" i="33"/>
  <c r="Q2" i="33" s="1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K2" i="32"/>
  <c r="K3" i="32"/>
  <c r="S3" i="32" s="1"/>
  <c r="K8" i="32"/>
  <c r="K12" i="32"/>
  <c r="L12" i="32" s="1"/>
  <c r="S8" i="32" l="1"/>
  <c r="L8" i="32" s="1"/>
  <c r="S2" i="32"/>
  <c r="L2" i="32" s="1"/>
  <c r="AG6" i="32"/>
  <c r="AC6" i="32"/>
  <c r="AB12" i="32"/>
  <c r="AG7" i="32"/>
  <c r="AC7" i="32"/>
  <c r="R3" i="33"/>
  <c r="R4" i="33" s="1"/>
  <c r="R5" i="33" s="1"/>
  <c r="R6" i="33" s="1"/>
  <c r="Q34" i="33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N21" i="18"/>
  <c r="N11" i="18"/>
  <c r="V14" i="18"/>
  <c r="O11" i="18"/>
  <c r="C16" i="18"/>
  <c r="AE6" i="32" l="1"/>
  <c r="AC12" i="32"/>
  <c r="AE7" i="32"/>
  <c r="AD7" i="32"/>
  <c r="AG12" i="32"/>
  <c r="F83" i="32" s="1"/>
  <c r="R7" i="33"/>
  <c r="R8" i="33" s="1"/>
  <c r="R9" i="33" s="1"/>
  <c r="R10" i="33" s="1"/>
  <c r="R11" i="33" s="1"/>
  <c r="R12" i="33" s="1"/>
  <c r="L23" i="18"/>
  <c r="P3" i="32"/>
  <c r="Q3" i="32"/>
  <c r="P13" i="32"/>
  <c r="Q13" i="32"/>
  <c r="P15" i="32"/>
  <c r="Q15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AE12" i="32" l="1"/>
  <c r="AF7" i="32"/>
  <c r="AF12" i="32" s="1"/>
  <c r="AD12" i="32"/>
  <c r="R13" i="33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F190" i="15"/>
  <c r="F189" i="15"/>
  <c r="F188" i="15"/>
  <c r="P65" i="32"/>
  <c r="AA15" i="32" s="1"/>
  <c r="AA16" i="32" s="1"/>
  <c r="F186" i="15"/>
  <c r="Q65" i="32"/>
  <c r="Z15" i="32" s="1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Z16" i="32" l="1"/>
  <c r="G53" i="16"/>
  <c r="G54" i="16"/>
  <c r="G59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7" i="18" l="1"/>
  <c r="F15" i="18" s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<sst xmlns="http://schemas.openxmlformats.org/spreadsheetml/2006/main" count="2672" uniqueCount="1110">
  <si>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</si>
  <si>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</si>
  <si>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</si>
  <si>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</si>
  <si>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</si>
  <si>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</si>
  <si>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</si>
  <si>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</si>
  <si>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</si>
  <si>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</si>
  <si>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</si>
  <si>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</si>
  <si>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</si>
  <si>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</si>
  <si>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</si>
  <si>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</si>
  <si>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</si>
  <si>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</si>
  <si>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</si>
  <si>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</si>
  <si>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</si>
  <si>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</si>
  <si>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</si>
  <si>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</si>
  <si>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</si>
  <si>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</si>
  <si>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</si>
  <si>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</si>
  <si>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</si>
  <si>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</si>
  <si>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</si>
  <si>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</si>
  <si>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</si>
  <si>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</si>
  <si>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</si>
  <si>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</si>
  <si>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</si>
  <si>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</si>
  <si>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</si>
  <si>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</si>
  <si>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</si>
  <si>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</si>
  <si>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</si>
  <si>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</si>
  <si>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</si>
  <si>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</si>
  <si>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</si>
  <si>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</si>
  <si>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</si>
  <si>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</si>
  <si>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</si>
  <si>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</si>
  <si>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</si>
  <si>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</si>
  <si>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</si>
  <si>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</si>
  <si>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</si>
  <si>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</si>
  <si>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</si>
  <si>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</si>
  <si>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</si>
  <si>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</si>
  <si>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</si>
  <si>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</si>
  <si>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</si>
  <si>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</si>
  <si>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</si>
  <si>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</si>
  <si>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</si>
  <si>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</si>
  <si>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</si>
  <si>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</si>
  <si>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</si>
  <si>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</si>
  <si>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</si>
  <si>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</si>
  <si>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</si>
  <si>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</si>
  <si>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</si>
  <si>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</si>
  <si>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</si>
  <si>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</si>
  <si>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</si>
  <si>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</si>
  <si>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</si>
  <si>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</si>
  <si>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</si>
  <si>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</si>
  <si>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</si>
  <si>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</si>
  <si>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</si>
  <si>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</si>
  <si>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</si>
  <si>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</si>
  <si>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</si>
  <si>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</si>
  <si>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</si>
  <si>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</si>
  <si>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</si>
  <si>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</si>
  <si>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</si>
  <si>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</si>
  <si>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</si>
  <si>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</si>
  <si>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</si>
  <si>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</si>
  <si>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</si>
  <si>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</si>
  <si>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</si>
  <si>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</si>
  <si>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</si>
  <si>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</si>
  <si>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</si>
  <si>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</si>
  <si>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</si>
  <si>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</si>
  <si>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</si>
  <si>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</si>
  <si>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</si>
  <si>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</si>
  <si>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</si>
  <si>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</si>
  <si>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</si>
  <si>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</si>
  <si>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</si>
  <si>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</si>
  <si>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</si>
  <si>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</si>
  <si>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</si>
  <si>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</si>
  <si>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</si>
  <si>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</si>
  <si>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</si>
  <si>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</si>
  <si>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</si>
  <si>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</si>
  <si>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</si>
  <si>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</si>
  <si>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</si>
  <si>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</si>
  <si>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</si>
  <si>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</si>
  <si>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</si>
  <si>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</si>
  <si>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</si>
  <si>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</si>
  <si>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</si>
  <si>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</si>
  <si>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</si>
  <si>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</si>
  <si>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</si>
  <si>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</si>
  <si>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</si>
  <si>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</si>
  <si>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</si>
  <si>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</si>
  <si>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</si>
  <si>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</si>
  <si>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</si>
  <si>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</si>
  <si>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</si>
  <si>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</si>
  <si>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</si>
  <si>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</si>
  <si>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</si>
  <si>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</si>
  <si>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</si>
  <si>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</si>
  <si>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</si>
  <si>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</si>
  <si>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</si>
  <si>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</si>
  <si>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</si>
  <si>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</si>
  <si>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</si>
  <si>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</si>
  <si>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</si>
  <si>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</si>
  <si>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</si>
  <si>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</si>
  <si>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</si>
  <si>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</si>
  <si>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</si>
  <si>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</si>
  <si>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</si>
  <si>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</si>
  <si>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</si>
  <si>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</si>
  <si>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</si>
  <si>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</si>
  <si>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</si>
  <si>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</si>
  <si>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</si>
  <si>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</si>
  <si>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</si>
  <si>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</si>
  <si>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</si>
  <si>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</si>
  <si>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</si>
  <si>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</si>
  <si>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</si>
  <si>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</si>
  <si>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</si>
  <si>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</si>
  <si>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</si>
  <si>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</si>
  <si>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</si>
  <si>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</si>
  <si>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</si>
  <si>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</si>
  <si>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</si>
  <si>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</si>
  <si>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</si>
  <si>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</si>
  <si>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</si>
  <si>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</si>
  <si>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</si>
  <si>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</si>
  <si>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</si>
  <si>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</si>
  <si>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</si>
  <si>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</si>
  <si>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</si>
  <si>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</si>
  <si>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</si>
  <si>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</si>
  <si>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</si>
  <si>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</si>
  <si>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</si>
  <si>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</si>
  <si>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</si>
  <si>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</si>
  <si>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</si>
  <si>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</si>
  <si>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</si>
  <si>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</si>
  <si>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</si>
  <si>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</si>
  <si>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</si>
  <si>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</si>
  <si>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</si>
  <si>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</si>
  <si>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</si>
  <si>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</si>
  <si>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</si>
  <si>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</si>
  <si>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</si>
  <si>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</si>
  <si>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</si>
  <si>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</si>
  <si>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</si>
  <si>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</si>
  <si>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</si>
  <si>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</si>
  <si>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</si>
  <si>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</si>
  <si>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</si>
  <si>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</si>
  <si>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</si>
  <si>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</si>
  <si>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</si>
  <si>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</si>
  <si>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</si>
  <si>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</si>
  <si>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</si>
  <si>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</si>
  <si>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</si>
  <si>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</si>
  <si>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</si>
  <si>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</si>
  <si>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</si>
  <si>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</si>
  <si>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</si>
  <si>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</si>
  <si>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</si>
  <si>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</si>
  <si>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</si>
  <si>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</si>
  <si>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</si>
  <si>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</si>
  <si>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</si>
  <si>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</si>
  <si>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</si>
  <si>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</si>
  <si>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</si>
  <si>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</si>
  <si>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</si>
  <si>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</si>
  <si>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</si>
  <si>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</si>
  <si>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</si>
  <si>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</si>
  <si>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</si>
  <si>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</si>
  <si>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</si>
  <si>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</si>
  <si>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</si>
  <si>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</si>
  <si>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</si>
  <si>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</si>
  <si>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</si>
  <si>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</si>
  <si>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</si>
  <si>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</si>
  <si>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</si>
  <si>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</si>
  <si>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</si>
  <si>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</si>
  <si>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</si>
  <si>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</si>
  <si>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</si>
  <si>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</si>
  <si>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</si>
  <si>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</si>
  <si>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</si>
  <si>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</si>
  <si>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</si>
  <si>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</si>
  <si>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</si>
  <si>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</si>
  <si>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</si>
  <si>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</si>
  <si>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</si>
  <si>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</si>
  <si>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</si>
  <si>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</si>
  <si>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</si>
  <si>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</si>
  <si>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</si>
  <si>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</si>
  <si>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</si>
  <si>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</si>
  <si>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</si>
  <si>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</si>
  <si>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</si>
  <si>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</si>
  <si>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</si>
  <si>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</si>
  <si>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</si>
  <si>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</si>
  <si>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</si>
  <si>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</si>
  <si>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</si>
  <si>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</si>
  <si>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</si>
  <si>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</si>
  <si>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</si>
  <si>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</si>
  <si>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</si>
  <si>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</si>
  <si>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</si>
  <si>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</si>
  <si>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</si>
  <si>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</si>
  <si>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</si>
  <si>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</si>
  <si>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</si>
  <si>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</si>
  <si>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</si>
  <si>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</si>
  <si>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</si>
  <si>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</si>
  <si>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</si>
  <si>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</si>
  <si>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</si>
  <si>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</si>
  <si>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</si>
  <si>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</si>
  <si>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</si>
  <si>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</si>
  <si>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</si>
  <si>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</si>
  <si>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</si>
  <si>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</si>
  <si>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</si>
  <si>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</si>
  <si>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</si>
  <si>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</si>
  <si>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</si>
  <si>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</si>
  <si>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</si>
  <si>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</si>
  <si>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</si>
  <si>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</si>
  <si>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</si>
  <si>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</si>
  <si>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</si>
  <si>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</si>
  <si>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</si>
  <si>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</si>
  <si>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</si>
  <si>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</si>
  <si>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</si>
  <si>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</si>
  <si>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</si>
  <si>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</si>
  <si>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</si>
  <si>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</si>
  <si>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</si>
  <si>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</si>
  <si>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</si>
  <si>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</si>
  <si>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</si>
  <si>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</si>
  <si>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</si>
  <si>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</si>
  <si>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</si>
  <si>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</si>
  <si>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</si>
  <si>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</si>
  <si>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</si>
  <si>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</si>
  <si>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</si>
  <si>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</si>
  <si>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</si>
  <si>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</si>
  <si>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</si>
  <si>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</si>
  <si>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</si>
  <si>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</si>
  <si>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</si>
  <si>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</si>
  <si>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</si>
  <si>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</si>
  <si>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</si>
  <si>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</si>
  <si>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</si>
  <si>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</si>
  <si>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</si>
  <si>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</si>
  <si>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</si>
  <si>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</si>
  <si>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</si>
  <si>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</si>
  <si>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</si>
  <si>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</si>
  <si>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</si>
  <si>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</si>
  <si>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</si>
  <si>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</si>
  <si>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</si>
  <si>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</si>
  <si>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</si>
  <si>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</si>
  <si>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</si>
  <si>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</si>
  <si>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</si>
  <si>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</si>
  <si>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</si>
  <si>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</si>
  <si>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</si>
  <si>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</si>
  <si>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</si>
  <si>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</si>
  <si>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</si>
  <si>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</si>
  <si>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</si>
  <si>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</si>
  <si>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</si>
  <si>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</si>
  <si>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</si>
  <si>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</si>
  <si>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</si>
  <si>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</si>
  <si>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</si>
  <si>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</si>
  <si>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</si>
  <si>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</si>
  <si>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</si>
  <si>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</si>
  <si>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</si>
  <si>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</si>
  <si>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</si>
  <si>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</si>
  <si>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</si>
  <si>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</si>
  <si>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</si>
  <si>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</si>
  <si>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</si>
  <si>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</si>
  <si>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</si>
  <si>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</si>
  <si>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</si>
  <si>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</si>
  <si>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</si>
  <si>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</si>
  <si>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</si>
  <si>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</si>
  <si>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</si>
  <si>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</si>
  <si>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</si>
  <si>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</si>
  <si>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</si>
  <si>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</si>
  <si>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</si>
  <si>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</si>
  <si>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</si>
  <si>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</si>
  <si>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</si>
  <si>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</si>
  <si>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</si>
  <si>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</si>
  <si>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</si>
  <si>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</si>
  <si>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</si>
  <si>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</si>
  <si>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</si>
  <si>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</si>
  <si>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</si>
  <si>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</si>
  <si>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</si>
  <si>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</si>
  <si>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</si>
  <si>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</si>
  <si>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</si>
  <si>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</si>
  <si>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</si>
  <si>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</si>
  <si>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</si>
  <si>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</si>
  <si>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</si>
  <si>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</si>
  <si>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</si>
  <si>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</si>
  <si>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</si>
  <si>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</si>
  <si>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</si>
  <si>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</si>
  <si>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</si>
  <si>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</si>
  <si>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</si>
  <si>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</si>
  <si>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</si>
  <si>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</si>
  <si>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</si>
  <si>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</si>
  <si>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</si>
  <si>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</si>
  <si>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</si>
  <si>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</si>
  <si>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</si>
  <si>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</si>
  <si>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</si>
  <si>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</si>
  <si>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</si>
  <si>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</si>
  <si>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</si>
  <si>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</si>
  <si>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</si>
  <si>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</si>
  <si>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</si>
  <si>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</si>
  <si>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</si>
  <si>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</si>
  <si>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</si>
  <si>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</si>
  <si>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</si>
  <si>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</si>
  <si>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</si>
  <si>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</si>
  <si>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</si>
  <si>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</si>
  <si>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</si>
  <si>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</si>
  <si>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</si>
  <si>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</si>
  <si>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</si>
  <si>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</si>
  <si>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</si>
  <si>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</si>
  <si>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</si>
  <si>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</si>
  <si>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</si>
  <si>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</si>
  <si>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</si>
  <si>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</si>
  <si>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</si>
  <si>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</si>
  <si>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</si>
  <si>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</si>
  <si>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</si>
  <si>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</si>
  <si>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</si>
  <si>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</si>
  <si>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</si>
  <si>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</si>
  <si>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</si>
  <si>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</si>
  <si>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</si>
  <si>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</si>
  <si>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</si>
  <si>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</si>
  <si>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</si>
  <si>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</si>
  <si>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</si>
  <si>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</si>
  <si>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</si>
  <si>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</si>
  <si>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</si>
  <si>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</si>
  <si>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</si>
  <si>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</si>
  <si>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</si>
  <si>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</si>
  <si>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</si>
  <si>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</si>
  <si>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</si>
  <si>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</si>
  <si>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</si>
  <si>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</si>
  <si>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</si>
  <si>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</si>
  <si>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</si>
  <si>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</si>
  <si>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</si>
  <si>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</si>
  <si>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</si>
  <si>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</si>
  <si>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</si>
  <si>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</si>
  <si>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</si>
  <si>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</si>
  <si>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</si>
  <si>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</si>
  <si>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</si>
  <si>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</si>
  <si>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</si>
  <si>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</si>
  <si>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</si>
  <si>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</si>
  <si>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</si>
  <si>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</si>
  <si>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</si>
  <si>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</si>
  <si>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</si>
  <si>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</si>
  <si>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</si>
  <si>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</si>
  <si>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</si>
  <si>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</si>
  <si>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</si>
  <si>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</si>
  <si>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</si>
  <si>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</si>
  <si>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</si>
  <si>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</si>
  <si>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</si>
  <si>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</si>
  <si>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</si>
  <si>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</si>
  <si>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</si>
  <si>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</si>
  <si>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</si>
  <si>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</si>
  <si>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</si>
  <si>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</si>
  <si>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</si>
  <si>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</si>
  <si>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</si>
  <si>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</si>
  <si>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</si>
  <si>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</si>
  <si>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</si>
  <si>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</si>
  <si>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</si>
  <si>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</si>
  <si>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</si>
  <si>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</si>
  <si>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</si>
  <si>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</si>
  <si>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</si>
  <si>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</si>
  <si>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</si>
  <si>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</si>
  <si>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</si>
  <si>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</si>
  <si>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</si>
  <si>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</si>
  <si>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</si>
  <si>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</si>
  <si>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</si>
  <si>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</si>
  <si>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</si>
  <si>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</si>
  <si>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</si>
  <si>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</si>
  <si>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</si>
  <si>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</si>
  <si>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</si>
  <si>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</si>
  <si>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</si>
  <si>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</si>
  <si>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</si>
  <si>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</si>
  <si>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</si>
  <si>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</si>
  <si>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</si>
  <si>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</si>
  <si>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</si>
  <si>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</si>
  <si>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</si>
  <si>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</si>
  <si>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</si>
  <si>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</si>
  <si>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</si>
  <si>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</si>
  <si>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</si>
  <si>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</si>
  <si>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</si>
  <si>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</si>
  <si>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</si>
  <si>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</si>
  <si>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</si>
  <si>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</si>
  <si>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</si>
  <si>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</si>
  <si>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</si>
  <si>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</si>
  <si>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</si>
  <si>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</si>
  <si>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</si>
  <si>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</si>
  <si>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</si>
  <si>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</si>
  <si>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</si>
  <si>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</si>
  <si>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</si>
  <si>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</si>
  <si>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</si>
  <si>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</si>
  <si>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</si>
  <si>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</si>
  <si>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</si>
  <si>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</si>
  <si>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</si>
  <si>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</si>
  <si>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</si>
  <si>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</si>
  <si>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</si>
  <si>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</si>
  <si>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</si>
  <si>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</si>
  <si>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</si>
  <si>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</si>
  <si>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</si>
  <si>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</si>
  <si>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</si>
  <si>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</si>
  <si>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</si>
  <si>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</si>
  <si>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</si>
  <si>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</si>
  <si>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</si>
  <si>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</si>
  <si>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</si>
  <si>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</si>
  <si>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</si>
  <si>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</si>
  <si>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</si>
  <si>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</si>
  <si>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</si>
  <si>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</si>
  <si>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</si>
  <si>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</si>
  <si>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</si>
  <si>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</si>
  <si>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</si>
  <si>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</si>
  <si>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</si>
  <si>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</si>
  <si>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</si>
  <si>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</si>
  <si>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</si>
  <si>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</si>
  <si>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</si>
  <si>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</si>
  <si>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</si>
  <si>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</si>
  <si>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</si>
  <si>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</si>
  <si>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</si>
  <si>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</si>
  <si>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</si>
  <si>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</si>
  <si>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</si>
  <si>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</si>
  <si>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</si>
  <si>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</si>
  <si>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</si>
  <si>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</si>
  <si>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</si>
  <si>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</si>
  <si>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</si>
  <si>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</si>
  <si>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</si>
  <si>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</si>
  <si>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</si>
  <si>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</si>
  <si>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</si>
  <si>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</si>
  <si>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</si>
  <si>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</si>
  <si>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</si>
  <si>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</si>
  <si>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</si>
  <si>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</si>
  <si>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</si>
  <si>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</si>
  <si>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</si>
  <si>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</si>
  <si>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</si>
  <si>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</si>
  <si>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</si>
  <si>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</si>
  <si>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</si>
  <si>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</si>
  <si>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</si>
  <si>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</si>
  <si>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</si>
  <si>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</si>
  <si>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</si>
  <si>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</si>
  <si>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</si>
  <si>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</si>
  <si>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</si>
  <si>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</si>
  <si>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</si>
  <si>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</si>
  <si>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</si>
  <si>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</si>
  <si>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</si>
  <si>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</si>
  <si>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</si>
  <si>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</si>
  <si>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</si>
  <si>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</si>
  <si>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</si>
  <si>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</si>
  <si>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</si>
  <si>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</si>
  <si>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</si>
  <si>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</si>
  <si>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</si>
  <si>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</si>
  <si>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</si>
  <si>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</si>
  <si>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</si>
  <si>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</si>
  <si>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</si>
  <si>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</si>
  <si>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</si>
  <si>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</si>
  <si>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</si>
  <si>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</si>
  <si>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</si>
  <si>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</si>
  <si>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</si>
  <si>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</si>
  <si>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</si>
  <si>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</si>
  <si>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</si>
  <si>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</si>
  <si>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</si>
  <si>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</si>
  <si>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</si>
  <si>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</si>
  <si>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</si>
  <si>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</si>
  <si>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</si>
  <si>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</si>
  <si>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</si>
  <si>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</si>
  <si>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</si>
  <si>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</si>
  <si>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</si>
  <si>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</si>
  <si>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</si>
  <si>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</si>
  <si>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</si>
  <si>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</si>
  <si>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</si>
  <si>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</si>
  <si>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</si>
  <si>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</si>
  <si>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</si>
  <si>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</si>
  <si>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</si>
  <si>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</si>
  <si>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</si>
  <si>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</si>
  <si>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</si>
  <si>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</si>
  <si>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</si>
  <si>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</si>
  <si>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</si>
  <si>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</si>
  <si>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</si>
  <si>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</si>
  <si>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</si>
  <si>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</si>
  <si>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</si>
  <si>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</si>
  <si>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</si>
  <si>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</si>
  <si>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</si>
  <si>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</si>
  <si>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</si>
  <si>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</si>
  <si>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</si>
  <si>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</si>
  <si>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</si>
  <si>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</si>
  <si>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</si>
  <si>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</si>
  <si>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</si>
  <si>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</si>
  <si>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</si>
  <si>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</si>
  <si>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</si>
  <si>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</si>
  <si>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</si>
  <si>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</si>
  <si>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</si>
  <si>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</si>
  <si>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</si>
  <si>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</si>
  <si>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</si>
  <si>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</si>
  <si>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</si>
  <si>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</si>
  <si>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</si>
  <si>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</si>
  <si>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</si>
  <si>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</si>
  <si>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</si>
  <si>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</si>
  <si>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</si>
  <si>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</si>
  <si>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</si>
  <si>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</si>
  <si>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</si>
  <si>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</si>
  <si>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</si>
  <si>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</si>
  <si>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</si>
  <si>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</si>
  <si>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</si>
  <si>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</si>
  <si>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</si>
  <si>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</si>
  <si>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</si>
  <si>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</si>
  <si>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</si>
  <si>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</si>
  <si>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</si>
  <si>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</si>
  <si>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</si>
  <si>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</si>
  <si>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</si>
  <si>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</si>
  <si>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</si>
  <si>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</si>
  <si>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</si>
  <si>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</si>
  <si>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</si>
  <si>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</si>
  <si>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</si>
  <si>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</si>
  <si>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</si>
  <si>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</si>
  <si>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</si>
  <si>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</si>
  <si>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</si>
  <si>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</si>
  <si>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</si>
  <si>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</si>
  <si>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</si>
  <si>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</si>
  <si>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</si>
  <si>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</si>
  <si>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</si>
  <si>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</si>
  <si>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</si>
  <si>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</si>
  <si>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</si>
  <si>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</si>
  <si>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</si>
  <si>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</si>
  <si>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</si>
  <si>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</si>
  <si>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</si>
  <si>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</si>
  <si>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</si>
  <si>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</si>
  <si>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</si>
  <si>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</si>
  <si>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</si>
  <si>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</si>
  <si>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</si>
  <si>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</si>
  <si>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</si>
  <si>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</si>
  <si>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</si>
  <si>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ارزش خرید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</si>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</sst>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164" fontId="0" fillId="19" borderId="1" xfId="0" applyNumberFormat="1" applyFill="1" applyBorder="1"/>
    <xf numFmtId="164" fontId="0" fillId="20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1078</v>
      </c>
      <c r="B6" s="18">
        <v>0</v>
      </c>
      <c r="C6" s="18">
        <v>0</v>
      </c>
      <c r="D6" s="3">
        <f t="shared" si="0"/>
        <v>0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1096</v>
      </c>
      <c r="G31" s="9" t="s">
        <v>1081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1097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1048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1078</v>
      </c>
      <c r="B148" s="18">
        <v>252436</v>
      </c>
      <c r="C148" s="18">
        <v>65510</v>
      </c>
      <c r="D148" s="18">
        <f t="shared" si="12"/>
        <v>186926</v>
      </c>
      <c r="E148" s="11" t="s">
        <v>1080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1054</v>
      </c>
      <c r="B103" s="38">
        <v>295500</v>
      </c>
      <c r="C103" s="73" t="s">
        <v>1055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1048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1052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1059</v>
      </c>
      <c r="B108" s="38">
        <v>3000000</v>
      </c>
      <c r="C108" s="73" t="s">
        <v>1069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1070</v>
      </c>
      <c r="B109" s="38">
        <v>2000000</v>
      </c>
      <c r="C109" s="73" t="s">
        <v>1069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1070</v>
      </c>
      <c r="B110" s="38">
        <v>-5000000</v>
      </c>
      <c r="C110" s="73" t="s">
        <v>1048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1078</v>
      </c>
      <c r="B111" s="38">
        <v>412668</v>
      </c>
      <c r="C111" s="73" t="s">
        <v>1079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1078</v>
      </c>
      <c r="B6" s="18">
        <v>252436</v>
      </c>
      <c r="C6" s="18">
        <v>65510</v>
      </c>
      <c r="D6" s="3">
        <f t="shared" si="0"/>
        <v>186926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1047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1068</v>
      </c>
    </row>
    <row r="36" spans="4:17" x14ac:dyDescent="0.25">
      <c r="D36" s="42">
        <v>245000</v>
      </c>
      <c r="E36" s="41" t="s">
        <v>1068</v>
      </c>
    </row>
    <row r="37" spans="4:17" x14ac:dyDescent="0.25">
      <c r="D37" s="7">
        <v>-25000</v>
      </c>
      <c r="E37" s="41" t="s">
        <v>1072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2"/>
  <sheetViews>
    <sheetView zoomScale="85" zoomScaleNormal="85" workbookViewId="0">
      <pane ySplit="1" topLeftCell="A23" activePane="bottomLeft" state="frozen"/>
      <selection pane="bottomLeft" activeCell="E50" sqref="E50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1056</v>
      </c>
      <c r="R1" s="11" t="s">
        <v>983</v>
      </c>
      <c r="S1" s="74" t="s">
        <v>1074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1062</v>
      </c>
      <c r="AD3" s="82" t="s">
        <v>1063</v>
      </c>
      <c r="AE3" s="82" t="s">
        <v>1064</v>
      </c>
      <c r="AF3" s="82" t="s">
        <v>1065</v>
      </c>
      <c r="AG3" s="82" t="s">
        <v>971</v>
      </c>
    </row>
    <row r="4" spans="1:33" x14ac:dyDescent="0.25">
      <c r="A4" s="79" t="s">
        <v>952</v>
      </c>
      <c r="B4" s="79" t="s">
        <v>965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724.71616438356159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80457.976587820696</v>
      </c>
      <c r="M4" s="81"/>
      <c r="N4" s="79"/>
      <c r="O4" s="79"/>
      <c r="P4" s="81"/>
      <c r="Q4" s="81"/>
      <c r="R4" s="79"/>
      <c r="S4" s="80">
        <v>0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f>Z18+Z19</f>
        <v>13</v>
      </c>
      <c r="AB4" s="85">
        <f t="shared" ref="AB4:AB10" si="2">W4*AA4*$AB$2/(365*100)</f>
        <v>630767.12328767125</v>
      </c>
      <c r="AC4" s="85">
        <f>AB4</f>
        <v>630767.12328767125</v>
      </c>
      <c r="AD4" s="85">
        <v>0</v>
      </c>
      <c r="AE4" s="85">
        <f>Y4+AC4</f>
        <v>81130767.123287678</v>
      </c>
      <c r="AF4" s="85">
        <f>Z4+AD4</f>
        <v>0</v>
      </c>
      <c r="AG4" s="86">
        <f t="shared" ref="AG4:AG9" si="3">W4+AB4</f>
        <v>81130767.123287678</v>
      </c>
    </row>
    <row r="5" spans="1:33" x14ac:dyDescent="0.25">
      <c r="A5" s="79" t="s">
        <v>1059</v>
      </c>
      <c r="B5" s="79" t="s">
        <v>965</v>
      </c>
      <c r="C5" s="79">
        <v>3</v>
      </c>
      <c r="D5" s="79" t="s">
        <v>976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8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 t="s">
        <v>960</v>
      </c>
      <c r="V5" s="82" t="s">
        <v>962</v>
      </c>
      <c r="W5" s="85">
        <v>87000000</v>
      </c>
      <c r="X5" s="82" t="s">
        <v>1044</v>
      </c>
      <c r="Y5" s="85">
        <v>0</v>
      </c>
      <c r="Z5" s="86">
        <f t="shared" ref="Z5:Z8" si="4">W5-Y5</f>
        <v>87000000</v>
      </c>
      <c r="AA5" s="82">
        <f>AA4-4</f>
        <v>9</v>
      </c>
      <c r="AB5" s="85">
        <f t="shared" si="2"/>
        <v>471945.20547945204</v>
      </c>
      <c r="AC5" s="85">
        <v>0</v>
      </c>
      <c r="AD5" s="85">
        <f>AB5</f>
        <v>471945.20547945204</v>
      </c>
      <c r="AE5" s="85">
        <f t="shared" ref="AE5:AE11" si="5">Y5+AC5</f>
        <v>0</v>
      </c>
      <c r="AF5" s="85">
        <f t="shared" ref="AF5:AF11" si="6">Z5+AD5</f>
        <v>87471945.205479458</v>
      </c>
      <c r="AG5" s="86">
        <f t="shared" si="3"/>
        <v>87471945.205479458</v>
      </c>
    </row>
    <row r="6" spans="1:33" x14ac:dyDescent="0.25">
      <c r="A6" s="76" t="s">
        <v>952</v>
      </c>
      <c r="B6" s="76" t="s">
        <v>965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144073.88087671233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80506.326671095536</v>
      </c>
      <c r="M6" s="76"/>
      <c r="N6" s="76"/>
      <c r="O6" s="76"/>
      <c r="P6" s="76"/>
      <c r="Q6" s="76"/>
      <c r="R6" s="77">
        <v>81000</v>
      </c>
      <c r="S6" s="77">
        <v>0</v>
      </c>
      <c r="U6" s="82" t="s">
        <v>1059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4"/>
        <v>0</v>
      </c>
      <c r="AA6" s="82">
        <f>AA5-1</f>
        <v>8</v>
      </c>
      <c r="AB6" s="85">
        <f t="shared" si="2"/>
        <v>5304.1095890410961</v>
      </c>
      <c r="AC6" s="85">
        <f>AB6</f>
        <v>5304.1095890410961</v>
      </c>
      <c r="AD6" s="85">
        <v>0</v>
      </c>
      <c r="AE6" s="85">
        <f t="shared" si="5"/>
        <v>1105304.1095890412</v>
      </c>
      <c r="AF6" s="85">
        <f t="shared" si="6"/>
        <v>0</v>
      </c>
      <c r="AG6" s="86">
        <f t="shared" si="3"/>
        <v>1105304.1095890412</v>
      </c>
    </row>
    <row r="7" spans="1:33" x14ac:dyDescent="0.25">
      <c r="A7" s="76" t="s">
        <v>1070</v>
      </c>
      <c r="B7" s="76" t="s">
        <v>965</v>
      </c>
      <c r="C7" s="76">
        <v>497</v>
      </c>
      <c r="D7" s="76" t="s">
        <v>976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 t="s">
        <v>1070</v>
      </c>
      <c r="V7" s="82" t="s">
        <v>962</v>
      </c>
      <c r="W7" s="85">
        <v>10000000</v>
      </c>
      <c r="X7" s="82" t="s">
        <v>1073</v>
      </c>
      <c r="Y7" s="85">
        <v>5000000</v>
      </c>
      <c r="Z7" s="86">
        <f t="shared" si="4"/>
        <v>5000000</v>
      </c>
      <c r="AA7" s="82">
        <f>AA6-1</f>
        <v>7</v>
      </c>
      <c r="AB7" s="85">
        <f t="shared" si="2"/>
        <v>42191.780821917811</v>
      </c>
      <c r="AC7" s="85">
        <f>AB7/2</f>
        <v>21095.890410958906</v>
      </c>
      <c r="AD7" s="85">
        <f>AB7-AC7</f>
        <v>21095.890410958906</v>
      </c>
      <c r="AE7" s="85">
        <f t="shared" si="5"/>
        <v>5021095.8904109588</v>
      </c>
      <c r="AF7" s="85">
        <f t="shared" si="6"/>
        <v>5021095.8904109588</v>
      </c>
      <c r="AG7" s="86">
        <f t="shared" si="3"/>
        <v>10042191.780821918</v>
      </c>
    </row>
    <row r="8" spans="1:33" x14ac:dyDescent="0.25">
      <c r="A8" s="79" t="s">
        <v>961</v>
      </c>
      <c r="B8" s="79" t="s">
        <v>981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97368.179199387931</v>
      </c>
      <c r="M8" s="79"/>
      <c r="N8" s="79"/>
      <c r="O8" s="79"/>
      <c r="P8" s="79"/>
      <c r="Q8" s="79"/>
      <c r="R8" s="80"/>
      <c r="S8" s="80">
        <f t="shared" ref="S8" si="7">C8*E8+K8-F8</f>
        <v>-17007.867499999702</v>
      </c>
      <c r="U8" s="82"/>
      <c r="V8" s="82"/>
      <c r="W8" s="85"/>
      <c r="X8" s="82"/>
      <c r="Y8" s="82"/>
      <c r="Z8" s="86">
        <f t="shared" si="4"/>
        <v>0</v>
      </c>
      <c r="AA8" s="82"/>
      <c r="AB8" s="85">
        <f t="shared" si="2"/>
        <v>0</v>
      </c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960</v>
      </c>
      <c r="B9" s="79" t="s">
        <v>981</v>
      </c>
      <c r="C9" s="79">
        <v>300</v>
      </c>
      <c r="D9" s="79" t="s">
        <v>976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2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8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961</v>
      </c>
      <c r="B10" s="76" t="s">
        <v>981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97373.585427558937</v>
      </c>
      <c r="M10" s="76"/>
      <c r="N10" s="76"/>
      <c r="O10" s="76"/>
      <c r="P10" s="78"/>
      <c r="Q10" s="78"/>
      <c r="R10" s="76"/>
      <c r="S10" s="77">
        <f t="shared" ref="S10" si="9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1070</v>
      </c>
      <c r="B11" s="76" t="s">
        <v>981</v>
      </c>
      <c r="C11" s="76">
        <v>100</v>
      </c>
      <c r="D11" s="76" t="s">
        <v>976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13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10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960</v>
      </c>
      <c r="B12" s="79" t="s">
        <v>1045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1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1150208.2191780822</v>
      </c>
      <c r="AC12" s="86">
        <f>SUM(AC4:AC10)</f>
        <v>657167.12328767125</v>
      </c>
      <c r="AD12" s="86">
        <f>SUM(AD4:AD10)</f>
        <v>493041.09589041094</v>
      </c>
      <c r="AE12" s="86">
        <f>SUM(AE4:AE11)</f>
        <v>87257167.123287678</v>
      </c>
      <c r="AF12" s="86">
        <f>SUM(AF4:AF11)</f>
        <v>92493041.095890418</v>
      </c>
      <c r="AG12" s="86">
        <f>SUM(AG4:AG10)</f>
        <v>179750208.21917808</v>
      </c>
    </row>
    <row r="13" spans="1:33" x14ac:dyDescent="0.25">
      <c r="A13" s="79" t="s">
        <v>960</v>
      </c>
      <c r="B13" s="79" t="s">
        <v>1045</v>
      </c>
      <c r="C13" s="79">
        <v>200</v>
      </c>
      <c r="D13" s="79" t="s">
        <v>976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1"/>
        <v>10220.759999999998</v>
      </c>
      <c r="L13" s="79">
        <v>3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960</v>
      </c>
      <c r="B14" s="76" t="s">
        <v>991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1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2">C14*E14+K14-F14</f>
        <v>-852355</v>
      </c>
      <c r="Z14" t="s">
        <v>756</v>
      </c>
      <c r="AA14" t="s">
        <v>453</v>
      </c>
    </row>
    <row r="15" spans="1:33" x14ac:dyDescent="0.25">
      <c r="A15" s="76" t="s">
        <v>960</v>
      </c>
      <c r="B15" s="76" t="s">
        <v>991</v>
      </c>
      <c r="C15" s="76">
        <v>200</v>
      </c>
      <c r="D15" s="76" t="s">
        <v>976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1"/>
        <v>12092.855</v>
      </c>
      <c r="L15" s="76">
        <v>4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3">-C15*E15+K15+F15</f>
        <v>852475.85500000045</v>
      </c>
      <c r="Y15" t="s">
        <v>1066</v>
      </c>
      <c r="Z15" s="7">
        <f>Z12+Q65</f>
        <v>93771803.5</v>
      </c>
      <c r="AA15" s="7">
        <f>Y12+P65</f>
        <v>89773087.5</v>
      </c>
    </row>
    <row r="16" spans="1:33" x14ac:dyDescent="0.25">
      <c r="A16" s="79" t="s">
        <v>960</v>
      </c>
      <c r="B16" s="79" t="s">
        <v>974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541.27183561643835</v>
      </c>
      <c r="J16" s="79">
        <v>7.2499999999999995E-2</v>
      </c>
      <c r="K16" s="80">
        <f t="shared" ref="K16:K21" si="14">C16*E16*J16/100</f>
        <v>7056.28</v>
      </c>
      <c r="L16" s="79">
        <f>(E16*(1+J16/100)+I16/C16)/(1-J17/100)-(S16/C16)*(G16/365)*($AB$2/100)</f>
        <v>97476.312473437632</v>
      </c>
      <c r="M16" s="81"/>
      <c r="N16" s="79"/>
      <c r="O16" s="79"/>
      <c r="P16" s="81"/>
      <c r="Q16" s="81"/>
      <c r="R16" s="79"/>
      <c r="S16" s="80">
        <f t="shared" ref="S16" si="15">C16*E16+K16-F16</f>
        <v>-138354.72000000067</v>
      </c>
      <c r="Y16" t="s">
        <v>1067</v>
      </c>
      <c r="Z16" s="7">
        <f>Z15-AF12</f>
        <v>1278762.4041095823</v>
      </c>
      <c r="AA16" s="7">
        <f>AA15-AE12</f>
        <v>2515920.3767123222</v>
      </c>
    </row>
    <row r="17" spans="1:30" x14ac:dyDescent="0.25">
      <c r="A17" s="79" t="s">
        <v>1070</v>
      </c>
      <c r="B17" s="79" t="s">
        <v>974</v>
      </c>
      <c r="C17" s="79">
        <v>100</v>
      </c>
      <c r="D17" s="79" t="s">
        <v>976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4"/>
        <v>7177.5</v>
      </c>
      <c r="L17" s="79">
        <v>15</v>
      </c>
      <c r="M17" s="81">
        <f>F17-F16</f>
        <v>164154</v>
      </c>
      <c r="N17" s="79">
        <v>50</v>
      </c>
      <c r="O17" s="79">
        <v>50</v>
      </c>
      <c r="P17" s="81">
        <f t="shared" ref="P17" si="16">M17*N17/C16</f>
        <v>82077</v>
      </c>
      <c r="Q17" s="81">
        <f t="shared" ref="Q17" si="17">M17*O17/C16</f>
        <v>82077</v>
      </c>
      <c r="R17" s="79"/>
      <c r="S17" s="80">
        <f t="shared" ref="S17" si="18">-C17*E17+K17+F17</f>
        <v>149542.5</v>
      </c>
    </row>
    <row r="18" spans="1:30" x14ac:dyDescent="0.25">
      <c r="A18" s="76" t="s">
        <v>960</v>
      </c>
      <c r="B18" s="76" t="s">
        <v>974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541.27183561643835</v>
      </c>
      <c r="J18" s="76">
        <v>7.2499999999999995E-2</v>
      </c>
      <c r="K18" s="77">
        <f t="shared" si="14"/>
        <v>7056.28</v>
      </c>
      <c r="L18" s="76">
        <f>(E18*(1+J18/100)+I18/C18)/(1-J19/100)-(S18/C18)*(G18/365)*($AB$2/100)</f>
        <v>97476.312473437632</v>
      </c>
      <c r="M18" s="78"/>
      <c r="N18" s="76"/>
      <c r="O18" s="76"/>
      <c r="P18" s="78"/>
      <c r="Q18" s="78"/>
      <c r="R18" s="76"/>
      <c r="S18" s="77">
        <f t="shared" ref="S18" si="19">C18*E18+K18-F18</f>
        <v>-138354.72000000067</v>
      </c>
      <c r="Y18" t="s">
        <v>1100</v>
      </c>
      <c r="Z18">
        <v>8</v>
      </c>
    </row>
    <row r="19" spans="1:30" x14ac:dyDescent="0.25">
      <c r="A19" s="76" t="s">
        <v>1070</v>
      </c>
      <c r="B19" s="76" t="s">
        <v>974</v>
      </c>
      <c r="C19" s="76">
        <v>100</v>
      </c>
      <c r="D19" s="76" t="s">
        <v>976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4"/>
        <v>7249.8549999999996</v>
      </c>
      <c r="L19" s="76">
        <v>17</v>
      </c>
      <c r="M19" s="78">
        <f t="shared" ref="M19" si="20">F19-F18</f>
        <v>263972</v>
      </c>
      <c r="N19" s="76">
        <v>50</v>
      </c>
      <c r="O19" s="76">
        <v>50</v>
      </c>
      <c r="P19" s="78">
        <f t="shared" ref="P19" si="21">M19*N19/C18</f>
        <v>131986</v>
      </c>
      <c r="Q19" s="78">
        <f t="shared" ref="Q19" si="22">M19*O19/C18</f>
        <v>131986</v>
      </c>
      <c r="R19" s="76"/>
      <c r="S19" s="77">
        <f t="shared" ref="S19" si="23">-C19*E19+K19+F19</f>
        <v>149632.85500000045</v>
      </c>
      <c r="Y19" t="s">
        <v>1101</v>
      </c>
      <c r="Z19">
        <v>5</v>
      </c>
    </row>
    <row r="20" spans="1:30" x14ac:dyDescent="0.25">
      <c r="A20" s="79" t="s">
        <v>960</v>
      </c>
      <c r="B20" s="79" t="s">
        <v>974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1082.5436712328767</v>
      </c>
      <c r="J20" s="79">
        <v>7.2499999999999995E-2</v>
      </c>
      <c r="K20" s="80">
        <f t="shared" si="14"/>
        <v>14112.56</v>
      </c>
      <c r="L20" s="79">
        <f>(E20*(1+J20/100)+I20/C20)/(1-J21/100)-(S20/C20)*(G20/365)*($AB$2/100)</f>
        <v>97476.312473437632</v>
      </c>
      <c r="M20" s="81"/>
      <c r="N20" s="79"/>
      <c r="O20" s="79"/>
      <c r="P20" s="81"/>
      <c r="Q20" s="81"/>
      <c r="R20" s="79"/>
      <c r="S20" s="80">
        <f t="shared" ref="S20" si="24">C20*E20+K20-F20</f>
        <v>-276709.44000000134</v>
      </c>
    </row>
    <row r="21" spans="1:30" x14ac:dyDescent="0.25">
      <c r="A21" s="79" t="s">
        <v>1070</v>
      </c>
      <c r="B21" s="79" t="s">
        <v>974</v>
      </c>
      <c r="C21" s="79">
        <v>200</v>
      </c>
      <c r="D21" s="79" t="s">
        <v>976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4"/>
        <v>14355</v>
      </c>
      <c r="L21" s="79">
        <v>18</v>
      </c>
      <c r="M21" s="81">
        <f t="shared" ref="M21" si="25">F21-F20</f>
        <v>328309</v>
      </c>
      <c r="N21" s="79">
        <v>100</v>
      </c>
      <c r="O21" s="79">
        <v>100</v>
      </c>
      <c r="P21" s="81">
        <f t="shared" ref="P21" si="26">M21*N21/C20</f>
        <v>164154.5</v>
      </c>
      <c r="Q21" s="81">
        <f t="shared" ref="Q21" si="27">M21*O21/C20</f>
        <v>164154.5</v>
      </c>
      <c r="R21" s="79"/>
      <c r="S21" s="80">
        <f t="shared" ref="S21" si="28">-C21*E21+K21+F21</f>
        <v>299086</v>
      </c>
    </row>
    <row r="22" spans="1:30" x14ac:dyDescent="0.25">
      <c r="A22" s="76" t="s">
        <v>960</v>
      </c>
      <c r="B22" s="76" t="s">
        <v>987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559.48580821917813</v>
      </c>
      <c r="J22" s="76">
        <v>7.2499999999999995E-2</v>
      </c>
      <c r="K22" s="77">
        <f t="shared" ref="K22:K23" si="29">C22*E22*J22/100</f>
        <v>7095.9375</v>
      </c>
      <c r="L22" s="76">
        <f>(E22*(1+J22/100)+I22/C22)/(1-J23/100)-(S22/C22)*(G22/365)*($AB$2/100)</f>
        <v>98027.635669411015</v>
      </c>
      <c r="M22" s="78"/>
      <c r="N22" s="76"/>
      <c r="O22" s="76"/>
      <c r="P22" s="78"/>
      <c r="Q22" s="78"/>
      <c r="R22" s="76"/>
      <c r="S22" s="77">
        <f t="shared" ref="S22" si="30">C22*E22+K22-F22</f>
        <v>-416020.0625</v>
      </c>
    </row>
    <row r="23" spans="1:30" x14ac:dyDescent="0.25">
      <c r="A23" s="76" t="s">
        <v>1070</v>
      </c>
      <c r="B23" s="76" t="s">
        <v>987</v>
      </c>
      <c r="C23" s="76">
        <v>100</v>
      </c>
      <c r="D23" s="76" t="s">
        <v>976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9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1">-C23*E23+K23+F23</f>
        <v>427982.92750000022</v>
      </c>
      <c r="AD23" t="s">
        <v>25</v>
      </c>
    </row>
    <row r="24" spans="1:30" x14ac:dyDescent="0.25">
      <c r="A24" s="79" t="s">
        <v>960</v>
      </c>
      <c r="B24" s="79" t="s">
        <v>974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1623.8155068493152</v>
      </c>
      <c r="J24" s="79">
        <v>7.2499999999999995E-2</v>
      </c>
      <c r="K24" s="80">
        <f t="shared" ref="K24:K25" si="32">C24*E24*J24/100</f>
        <v>21168.84</v>
      </c>
      <c r="L24" s="79">
        <f>(E24*(1+J24/100)+I24/C24)/(1-J25/100)-(S24/C24)*(G24/365)*($AB$2/100)</f>
        <v>97476.312473437632</v>
      </c>
      <c r="M24" s="81"/>
      <c r="N24" s="79"/>
      <c r="O24" s="79"/>
      <c r="P24" s="81"/>
      <c r="Q24" s="81"/>
      <c r="R24" s="79"/>
      <c r="S24" s="80">
        <f t="shared" ref="S24" si="33">C24*E24+K24-F24</f>
        <v>-415064.16000000015</v>
      </c>
      <c r="AA24" s="7"/>
    </row>
    <row r="25" spans="1:30" x14ac:dyDescent="0.25">
      <c r="A25" s="79" t="s">
        <v>1070</v>
      </c>
      <c r="B25" s="79" t="s">
        <v>974</v>
      </c>
      <c r="C25" s="79">
        <v>300</v>
      </c>
      <c r="D25" s="79" t="s">
        <v>976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2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4">-C25*E25+K25+F25</f>
        <v>448628.5</v>
      </c>
    </row>
    <row r="26" spans="1:30" x14ac:dyDescent="0.25">
      <c r="A26" s="76" t="s">
        <v>960</v>
      </c>
      <c r="B26" s="76" t="s">
        <v>987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98027.635669411015</v>
      </c>
      <c r="M26" s="78"/>
      <c r="N26" s="76"/>
      <c r="O26" s="76"/>
      <c r="P26" s="78"/>
      <c r="Q26" s="78"/>
      <c r="R26" s="76"/>
      <c r="S26" s="77">
        <f t="shared" ref="S26" si="35">C26*E26+K26-F26</f>
        <v>-832040.125</v>
      </c>
    </row>
    <row r="27" spans="1:30" x14ac:dyDescent="0.25">
      <c r="A27" s="76" t="s">
        <v>1070</v>
      </c>
      <c r="B27" s="76" t="s">
        <v>987</v>
      </c>
      <c r="C27" s="76">
        <v>200</v>
      </c>
      <c r="D27" s="76" t="s">
        <v>976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6">-C27*E27+K27+F27</f>
        <v>855964.85500000045</v>
      </c>
      <c r="AA27" t="s">
        <v>25</v>
      </c>
    </row>
    <row r="28" spans="1:30" x14ac:dyDescent="0.25">
      <c r="A28" s="90"/>
      <c r="B28" s="90"/>
      <c r="C28" s="90"/>
      <c r="D28" s="90"/>
      <c r="E28" s="91"/>
      <c r="F28" s="91"/>
      <c r="G28" s="90"/>
      <c r="H28" s="90"/>
      <c r="I28" s="91"/>
      <c r="J28" s="90"/>
      <c r="K28" s="91"/>
      <c r="L28" s="90"/>
      <c r="M28" s="92"/>
      <c r="N28" s="90"/>
      <c r="O28" s="90"/>
      <c r="P28" s="92"/>
      <c r="Q28" s="92"/>
      <c r="R28" s="90"/>
      <c r="S28" s="91"/>
    </row>
    <row r="29" spans="1:30" x14ac:dyDescent="0.25">
      <c r="A29" s="90"/>
      <c r="B29" s="90"/>
      <c r="C29" s="90"/>
      <c r="D29" s="90"/>
      <c r="E29" s="91"/>
      <c r="F29" s="91"/>
      <c r="G29" s="90"/>
      <c r="H29" s="90"/>
      <c r="I29" s="91"/>
      <c r="J29" s="90"/>
      <c r="K29" s="91"/>
      <c r="L29" s="90"/>
      <c r="M29" s="92"/>
      <c r="N29" s="90"/>
      <c r="O29" s="90"/>
      <c r="P29" s="92"/>
      <c r="Q29" s="92"/>
      <c r="R29" s="90"/>
      <c r="S29" s="91"/>
    </row>
    <row r="30" spans="1:30" x14ac:dyDescent="0.25">
      <c r="A30" s="79" t="s">
        <v>1059</v>
      </c>
      <c r="B30" s="79" t="s">
        <v>1045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1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</row>
    <row r="31" spans="1:30" x14ac:dyDescent="0.25">
      <c r="A31" s="79" t="s">
        <v>1059</v>
      </c>
      <c r="B31" s="79" t="s">
        <v>1045</v>
      </c>
      <c r="C31" s="79">
        <v>143</v>
      </c>
      <c r="D31" s="79" t="s">
        <v>976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1"/>
        <v>7309.0874999999996</v>
      </c>
      <c r="L31" s="79">
        <v>5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</row>
    <row r="32" spans="1:30" x14ac:dyDescent="0.25">
      <c r="A32" s="76" t="s">
        <v>1059</v>
      </c>
      <c r="B32" s="76" t="s">
        <v>965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1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</row>
    <row r="33" spans="1:23" x14ac:dyDescent="0.25">
      <c r="A33" s="76" t="s">
        <v>1059</v>
      </c>
      <c r="B33" s="76" t="s">
        <v>965</v>
      </c>
      <c r="C33" s="76">
        <v>500</v>
      </c>
      <c r="D33" s="76" t="s">
        <v>976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1"/>
        <v>29355.25</v>
      </c>
      <c r="L33" s="76">
        <v>6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</row>
    <row r="34" spans="1:23" x14ac:dyDescent="0.25">
      <c r="A34" s="79" t="s">
        <v>1059</v>
      </c>
      <c r="B34" s="79" t="s">
        <v>1045</v>
      </c>
      <c r="C34" s="79">
        <v>140</v>
      </c>
      <c r="D34" s="79" t="s">
        <v>1061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1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</row>
    <row r="35" spans="1:23" x14ac:dyDescent="0.25">
      <c r="A35" s="79" t="s">
        <v>1059</v>
      </c>
      <c r="B35" s="79" t="s">
        <v>1045</v>
      </c>
      <c r="C35" s="79">
        <v>140</v>
      </c>
      <c r="D35" s="79" t="s">
        <v>976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1"/>
        <v>7225.378999999999</v>
      </c>
      <c r="L35" s="79">
        <v>7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3" x14ac:dyDescent="0.25">
      <c r="A36" s="76" t="s">
        <v>1070</v>
      </c>
      <c r="B36" s="76" t="s">
        <v>981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37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38">C36*E36+K36-F36</f>
        <v>-33703.5</v>
      </c>
    </row>
    <row r="37" spans="1:23" x14ac:dyDescent="0.25">
      <c r="A37" s="76" t="s">
        <v>1070</v>
      </c>
      <c r="B37" s="76" t="s">
        <v>981</v>
      </c>
      <c r="C37" s="76">
        <v>100</v>
      </c>
      <c r="D37" s="76" t="s">
        <v>976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37"/>
        <v>7192</v>
      </c>
      <c r="L37" s="76">
        <v>14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 t="shared" ref="S37" si="39">-C37*E37+K37+F37</f>
        <v>33703</v>
      </c>
    </row>
    <row r="38" spans="1:23" x14ac:dyDescent="0.25">
      <c r="A38" s="79" t="s">
        <v>1070</v>
      </c>
      <c r="B38" s="79" t="s">
        <v>988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47" si="40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1">C38*E38+K38-F38</f>
        <v>-1252998.5</v>
      </c>
    </row>
    <row r="39" spans="1:23" x14ac:dyDescent="0.25">
      <c r="A39" s="79" t="s">
        <v>1070</v>
      </c>
      <c r="B39" s="79" t="s">
        <v>988</v>
      </c>
      <c r="C39" s="79">
        <v>500</v>
      </c>
      <c r="D39" s="79" t="s">
        <v>976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0"/>
        <v>33350</v>
      </c>
      <c r="L39" s="79">
        <v>16</v>
      </c>
      <c r="M39" s="81">
        <f>F39-F38</f>
        <v>433613</v>
      </c>
      <c r="N39" s="79">
        <v>250</v>
      </c>
      <c r="O39" s="79">
        <v>250</v>
      </c>
      <c r="P39" s="81">
        <f t="shared" ref="P39" si="42">M39*N39/C38</f>
        <v>216806.5</v>
      </c>
      <c r="Q39" s="81">
        <f t="shared" ref="Q39" si="43">M39*O39/C38</f>
        <v>216806.5</v>
      </c>
      <c r="R39" s="79"/>
      <c r="S39" s="80">
        <f t="shared" ref="S39" si="44">-C39*E39+K39+F39</f>
        <v>1252949</v>
      </c>
    </row>
    <row r="40" spans="1:23" x14ac:dyDescent="0.25">
      <c r="A40" s="76" t="s">
        <v>25</v>
      </c>
      <c r="B40" s="76"/>
      <c r="C40" s="76">
        <v>1</v>
      </c>
      <c r="D40" s="76"/>
      <c r="E40" s="77"/>
      <c r="F40" s="77"/>
      <c r="G40" s="76"/>
      <c r="H40" s="76"/>
      <c r="I40" s="77">
        <f>F40*G40*($AB$2-H40)/(36500)</f>
        <v>0</v>
      </c>
      <c r="J40" s="76">
        <v>7.2499999999999995E-2</v>
      </c>
      <c r="K40" s="77">
        <f t="shared" si="40"/>
        <v>0</v>
      </c>
      <c r="L40" s="76">
        <f t="shared" ref="L40" si="45">(E40*(1+J40/100)+I40/C40)/(1-J41/100)</f>
        <v>0</v>
      </c>
      <c r="M40" s="78"/>
      <c r="N40" s="76"/>
      <c r="O40" s="76"/>
      <c r="P40" s="78"/>
      <c r="Q40" s="78"/>
      <c r="R40" s="76"/>
      <c r="S40" s="93">
        <f t="shared" ref="S40" si="46">C40*E40+K40-F40</f>
        <v>0</v>
      </c>
    </row>
    <row r="41" spans="1:23" x14ac:dyDescent="0.25">
      <c r="A41" s="76"/>
      <c r="B41" s="76"/>
      <c r="C41" s="76">
        <v>1</v>
      </c>
      <c r="D41" s="76"/>
      <c r="E41" s="77"/>
      <c r="F41" s="77"/>
      <c r="G41" s="76"/>
      <c r="H41" s="76"/>
      <c r="I41" s="77"/>
      <c r="J41" s="76">
        <v>7.2499999999999995E-2</v>
      </c>
      <c r="K41" s="77">
        <f t="shared" si="40"/>
        <v>0</v>
      </c>
      <c r="L41" s="76">
        <v>19</v>
      </c>
      <c r="M41" s="78">
        <f t="shared" ref="M41" si="47">F41-F40</f>
        <v>0</v>
      </c>
      <c r="N41" s="76">
        <v>50</v>
      </c>
      <c r="O41" s="76">
        <v>50</v>
      </c>
      <c r="P41" s="78">
        <f t="shared" ref="P41" si="48">M41*N41/C40</f>
        <v>0</v>
      </c>
      <c r="Q41" s="78">
        <f t="shared" ref="Q41" si="49">M41*O41/C40</f>
        <v>0</v>
      </c>
      <c r="R41" s="76"/>
      <c r="S41" s="93">
        <f t="shared" ref="S41" si="50">-C41*E41+K41+F41</f>
        <v>0</v>
      </c>
    </row>
    <row r="42" spans="1:23" x14ac:dyDescent="0.25">
      <c r="A42" s="79"/>
      <c r="B42" s="79"/>
      <c r="C42" s="79">
        <v>1</v>
      </c>
      <c r="D42" s="79"/>
      <c r="E42" s="80"/>
      <c r="F42" s="80"/>
      <c r="G42" s="79"/>
      <c r="H42" s="79"/>
      <c r="I42" s="80">
        <f>F42*G42*($AB$2-H42)/(36500)</f>
        <v>0</v>
      </c>
      <c r="J42" s="79">
        <v>7.2499999999999995E-2</v>
      </c>
      <c r="K42" s="80">
        <f t="shared" si="40"/>
        <v>0</v>
      </c>
      <c r="L42" s="79">
        <f t="shared" ref="L42:L46" si="51">(E42*(1+J42/100)+I42/C42)/(1-J43/100)</f>
        <v>0</v>
      </c>
      <c r="M42" s="81"/>
      <c r="N42" s="79"/>
      <c r="O42" s="79"/>
      <c r="P42" s="81"/>
      <c r="Q42" s="81"/>
      <c r="R42" s="79"/>
      <c r="S42" s="80">
        <f t="shared" ref="S42" si="52">C42*E42+K42-F42</f>
        <v>0</v>
      </c>
    </row>
    <row r="43" spans="1:23" x14ac:dyDescent="0.25">
      <c r="A43" s="79"/>
      <c r="B43" s="79"/>
      <c r="C43" s="79">
        <v>1</v>
      </c>
      <c r="D43" s="79"/>
      <c r="E43" s="80"/>
      <c r="F43" s="80"/>
      <c r="G43" s="79"/>
      <c r="H43" s="79"/>
      <c r="I43" s="80"/>
      <c r="J43" s="79">
        <v>7.2499999999999995E-2</v>
      </c>
      <c r="K43" s="80">
        <f t="shared" si="40"/>
        <v>0</v>
      </c>
      <c r="L43" s="79">
        <v>20</v>
      </c>
      <c r="M43" s="81">
        <f t="shared" ref="M43" si="53">F43-F42</f>
        <v>0</v>
      </c>
      <c r="N43" s="79">
        <v>50</v>
      </c>
      <c r="O43" s="79">
        <v>50</v>
      </c>
      <c r="P43" s="81">
        <f t="shared" ref="P43" si="54">M43*N43/C42</f>
        <v>0</v>
      </c>
      <c r="Q43" s="81">
        <f t="shared" ref="Q43" si="55">M43*O43/C42</f>
        <v>0</v>
      </c>
      <c r="R43" s="79"/>
      <c r="S43" s="80">
        <f t="shared" ref="S43" si="56">-C43*E43+K43+F43</f>
        <v>0</v>
      </c>
    </row>
    <row r="44" spans="1:23" x14ac:dyDescent="0.25">
      <c r="A44" s="76"/>
      <c r="B44" s="76"/>
      <c r="C44" s="76">
        <v>1</v>
      </c>
      <c r="D44" s="76"/>
      <c r="E44" s="77"/>
      <c r="F44" s="77"/>
      <c r="G44" s="76"/>
      <c r="H44" s="76"/>
      <c r="I44" s="77">
        <f>F44*G44*($AB$2-H44)/(36500)</f>
        <v>0</v>
      </c>
      <c r="J44" s="76">
        <v>7.2499999999999995E-2</v>
      </c>
      <c r="K44" s="77">
        <f t="shared" si="40"/>
        <v>0</v>
      </c>
      <c r="L44" s="76">
        <f t="shared" ref="L44" si="57">(E44*(1+J44/100)+I44/C44)/(1-J45/100)</f>
        <v>0</v>
      </c>
      <c r="M44" s="78"/>
      <c r="N44" s="76"/>
      <c r="O44" s="76"/>
      <c r="P44" s="78"/>
      <c r="Q44" s="78"/>
      <c r="R44" s="76"/>
      <c r="S44" s="93">
        <f t="shared" ref="S44" si="58">C44*E44+K44-F44</f>
        <v>0</v>
      </c>
    </row>
    <row r="45" spans="1:23" x14ac:dyDescent="0.25">
      <c r="A45" s="76"/>
      <c r="B45" s="76"/>
      <c r="C45" s="76">
        <v>1</v>
      </c>
      <c r="D45" s="76"/>
      <c r="E45" s="77"/>
      <c r="F45" s="77"/>
      <c r="G45" s="76"/>
      <c r="H45" s="76"/>
      <c r="I45" s="77"/>
      <c r="J45" s="76">
        <v>7.2499999999999995E-2</v>
      </c>
      <c r="K45" s="77">
        <f t="shared" si="40"/>
        <v>0</v>
      </c>
      <c r="L45" s="76">
        <v>21</v>
      </c>
      <c r="M45" s="78">
        <f t="shared" ref="M45" si="59">F45-F44</f>
        <v>0</v>
      </c>
      <c r="N45" s="76">
        <v>50</v>
      </c>
      <c r="O45" s="76">
        <v>50</v>
      </c>
      <c r="P45" s="78">
        <f t="shared" ref="P45" si="60">M45*N45/C44</f>
        <v>0</v>
      </c>
      <c r="Q45" s="78">
        <f t="shared" ref="Q45" si="61">M45*O45/C44</f>
        <v>0</v>
      </c>
      <c r="R45" s="76"/>
      <c r="S45" s="93">
        <f t="shared" ref="S45" si="62">-C45*E45+K45+F45</f>
        <v>0</v>
      </c>
    </row>
    <row r="46" spans="1:23" x14ac:dyDescent="0.25">
      <c r="A46" s="79"/>
      <c r="B46" s="79"/>
      <c r="C46" s="79">
        <v>1</v>
      </c>
      <c r="D46" s="79"/>
      <c r="E46" s="79"/>
      <c r="F46" s="79"/>
      <c r="G46" s="79"/>
      <c r="H46" s="79"/>
      <c r="I46" s="79">
        <f>F46*G46*($AB$2-H46)/(36500)</f>
        <v>0</v>
      </c>
      <c r="J46" s="79">
        <v>7.2499999999999995E-2</v>
      </c>
      <c r="K46" s="79">
        <f t="shared" si="40"/>
        <v>0</v>
      </c>
      <c r="L46" s="79">
        <f t="shared" si="51"/>
        <v>0</v>
      </c>
      <c r="M46" s="79"/>
      <c r="N46" s="79"/>
      <c r="O46" s="79"/>
      <c r="P46" s="79"/>
      <c r="Q46" s="79"/>
      <c r="R46" s="79"/>
      <c r="S46" s="80">
        <f t="shared" ref="S46" si="63">C46*E46+K46-F46</f>
        <v>0</v>
      </c>
    </row>
    <row r="47" spans="1:23" x14ac:dyDescent="0.25">
      <c r="A47" s="79"/>
      <c r="B47" s="79"/>
      <c r="C47" s="79">
        <v>1</v>
      </c>
      <c r="D47" s="79"/>
      <c r="E47" s="79"/>
      <c r="F47" s="79"/>
      <c r="G47" s="79"/>
      <c r="H47" s="79"/>
      <c r="I47" s="79"/>
      <c r="J47" s="79">
        <v>7.2499999999999995E-2</v>
      </c>
      <c r="K47" s="79">
        <f t="shared" si="40"/>
        <v>0</v>
      </c>
      <c r="L47" s="79">
        <v>22</v>
      </c>
      <c r="M47" s="79">
        <f t="shared" ref="M47" si="64">F47-F46</f>
        <v>0</v>
      </c>
      <c r="N47" s="79">
        <v>50</v>
      </c>
      <c r="O47" s="79">
        <v>50</v>
      </c>
      <c r="P47" s="79">
        <f t="shared" ref="P47" si="65">M47*N47/C46</f>
        <v>0</v>
      </c>
      <c r="Q47" s="79">
        <f t="shared" ref="Q47" si="66">M47*O47/C46</f>
        <v>0</v>
      </c>
      <c r="R47" s="79"/>
      <c r="S47" s="80">
        <f t="shared" ref="S47" si="67">-C47*E47+K47+F47</f>
        <v>0</v>
      </c>
    </row>
    <row r="48" spans="1:23" x14ac:dyDescent="0.25">
      <c r="A48" s="16" t="s">
        <v>960</v>
      </c>
      <c r="B48" s="16" t="s">
        <v>987</v>
      </c>
      <c r="C48" s="16">
        <v>100</v>
      </c>
      <c r="D48" s="16" t="s">
        <v>61</v>
      </c>
      <c r="E48" s="14">
        <v>97875</v>
      </c>
      <c r="F48" s="14">
        <v>10210616</v>
      </c>
      <c r="G48" s="16">
        <v>8</v>
      </c>
      <c r="H48" s="16">
        <v>21</v>
      </c>
      <c r="I48" s="14">
        <f>F48*G48*($AB$2-H48)/(36500)</f>
        <v>2237.9432328767125</v>
      </c>
      <c r="J48" s="16">
        <v>7.2499999999999995E-2</v>
      </c>
      <c r="K48" s="14">
        <f>C48*E48*J48/100</f>
        <v>7095.9375</v>
      </c>
      <c r="L48" s="16">
        <f>(E48*(1+J48/100)+I48/C48)/(1-J49/100)-(S48/C48)*(G48/365)*($AB$2/100)</f>
        <v>98059.477530412303</v>
      </c>
      <c r="M48" s="16"/>
      <c r="N48" s="16"/>
      <c r="O48" s="16"/>
      <c r="P48" s="16"/>
      <c r="Q48" s="16"/>
      <c r="R48" s="14">
        <v>98000</v>
      </c>
      <c r="S48" s="14">
        <f t="shared" ref="S48" si="68">C48*E48+K48-F48</f>
        <v>-416020.0625</v>
      </c>
      <c r="W48" t="s">
        <v>25</v>
      </c>
    </row>
    <row r="49" spans="1:19" x14ac:dyDescent="0.25">
      <c r="A49" s="16"/>
      <c r="B49" s="16"/>
      <c r="C49" s="16"/>
      <c r="D49" s="16"/>
      <c r="E49" s="14"/>
      <c r="F49" s="14"/>
      <c r="G49" s="16"/>
      <c r="H49" s="16"/>
      <c r="I49" s="14">
        <f>F49*G49*($AB$2-H49)/(36500)</f>
        <v>0</v>
      </c>
      <c r="J49" s="16">
        <v>7.2499999999999995E-2</v>
      </c>
      <c r="K49" s="16"/>
      <c r="L49" s="16">
        <v>0</v>
      </c>
      <c r="M49" s="16"/>
      <c r="N49" s="16">
        <v>50</v>
      </c>
      <c r="O49" s="16">
        <f>C48-N49</f>
        <v>50</v>
      </c>
      <c r="P49" s="16">
        <f>M49*N49/C48</f>
        <v>0</v>
      </c>
      <c r="Q49" s="16">
        <f>M49*O49/C48</f>
        <v>0</v>
      </c>
      <c r="R49" s="16"/>
      <c r="S49" s="14">
        <f t="shared" ref="S49" si="69">-C49*E49+K49+F49</f>
        <v>0</v>
      </c>
    </row>
    <row r="50" spans="1:19" x14ac:dyDescent="0.25">
      <c r="A50" s="83" t="s">
        <v>1070</v>
      </c>
      <c r="B50" s="83" t="s">
        <v>991</v>
      </c>
      <c r="C50" s="83">
        <v>1900</v>
      </c>
      <c r="D50" s="83" t="s">
        <v>61</v>
      </c>
      <c r="E50" s="84">
        <v>85536</v>
      </c>
      <c r="F50" s="84">
        <v>170893386</v>
      </c>
      <c r="G50" s="83">
        <v>6</v>
      </c>
      <c r="H50" s="83">
        <v>15</v>
      </c>
      <c r="I50" s="84">
        <f>F50*G50*($AB$2-H50)/(36500)</f>
        <v>196644.44416438357</v>
      </c>
      <c r="J50" s="83">
        <v>7.2499999999999995E-2</v>
      </c>
      <c r="K50" s="84">
        <f>C50*E50*J50/100</f>
        <v>117825.84</v>
      </c>
      <c r="L50" s="84">
        <f>(E50*(1+J50/100)+I50/C50)/(1-J51/100)-(S50/C50)*(G50/365)*($AB$2/100)</f>
        <v>85779.405935242379</v>
      </c>
      <c r="M50" s="83"/>
      <c r="N50" s="83"/>
      <c r="O50" s="83"/>
      <c r="P50" s="83"/>
      <c r="Q50" s="83"/>
      <c r="R50" s="84">
        <v>85600</v>
      </c>
      <c r="S50" s="14">
        <f t="shared" ref="S50" si="70">C50*E50+K50-F50</f>
        <v>-8257160.1599999964</v>
      </c>
    </row>
    <row r="51" spans="1:19" x14ac:dyDescent="0.25">
      <c r="A51" s="83"/>
      <c r="B51" s="83"/>
      <c r="C51" s="83"/>
      <c r="D51" s="83"/>
      <c r="E51" s="83"/>
      <c r="F51" s="83"/>
      <c r="G51" s="83"/>
      <c r="H51" s="83"/>
      <c r="I51" s="84"/>
      <c r="J51" s="83">
        <v>7.2499999999999995E-2</v>
      </c>
      <c r="K51" s="83"/>
      <c r="L51" s="83"/>
      <c r="M51" s="83"/>
      <c r="N51" s="83">
        <v>950</v>
      </c>
      <c r="O51" s="83">
        <v>950</v>
      </c>
      <c r="P51" s="83"/>
      <c r="Q51" s="83"/>
      <c r="R51" s="83"/>
      <c r="S51" s="14">
        <f t="shared" ref="S51" si="71">-C51*E51+K51+F51</f>
        <v>0</v>
      </c>
    </row>
    <row r="52" spans="1:19" x14ac:dyDescent="0.25">
      <c r="A52" s="16" t="s">
        <v>1070</v>
      </c>
      <c r="B52" s="16" t="s">
        <v>965</v>
      </c>
      <c r="C52" s="16">
        <v>8</v>
      </c>
      <c r="D52" s="14" t="s">
        <v>61</v>
      </c>
      <c r="E52" s="14">
        <v>82200</v>
      </c>
      <c r="F52" s="14">
        <v>658076</v>
      </c>
      <c r="G52" s="16">
        <v>6</v>
      </c>
      <c r="H52" s="16">
        <v>0</v>
      </c>
      <c r="I52" s="16">
        <f>F52*G52*($AB$2-H52)/(36500)</f>
        <v>2379.8912876712329</v>
      </c>
      <c r="J52" s="16">
        <v>7.2499999999999995E-2</v>
      </c>
      <c r="K52" s="16">
        <f>C52*E52*J52/100</f>
        <v>476.76</v>
      </c>
      <c r="L52" s="16">
        <f>(E52*(1+J52/100)+I52/C52)/(1-J53/100)-(S52/C52)*(G52/365)*($AB$2/100)</f>
        <v>82616.978376969651</v>
      </c>
      <c r="M52" s="16"/>
      <c r="N52" s="16"/>
      <c r="O52" s="16"/>
      <c r="P52" s="16"/>
      <c r="Q52" s="16"/>
      <c r="R52" s="14">
        <v>82200</v>
      </c>
      <c r="S52" s="14">
        <f t="shared" ref="S52" si="72">C52*E52+K52-F52</f>
        <v>0.76000000000931323</v>
      </c>
    </row>
    <row r="53" spans="1:19" x14ac:dyDescent="0.25">
      <c r="A53" s="16"/>
      <c r="B53" s="16"/>
      <c r="C53" s="16"/>
      <c r="D53" s="16"/>
      <c r="E53" s="14"/>
      <c r="F53" s="16"/>
      <c r="G53" s="16"/>
      <c r="H53" s="14"/>
      <c r="I53" s="16">
        <f>F53*G53*($AB$2-H53)/(36500)</f>
        <v>0</v>
      </c>
      <c r="J53" s="16">
        <v>7.2499999999999995E-2</v>
      </c>
      <c r="K53" s="16"/>
      <c r="L53" s="14">
        <v>0</v>
      </c>
      <c r="M53" s="16"/>
      <c r="N53" s="16">
        <v>4</v>
      </c>
      <c r="O53" s="14">
        <f>C52-N53</f>
        <v>4</v>
      </c>
      <c r="P53" s="14">
        <f>M53*N53/C52</f>
        <v>0</v>
      </c>
      <c r="Q53" s="16">
        <f>M53*O53/C52</f>
        <v>0</v>
      </c>
      <c r="R53" s="14">
        <f t="shared" ref="R53" si="73">E53-D53*B53+J53</f>
        <v>7.2499999999999995E-2</v>
      </c>
      <c r="S53" s="14">
        <f t="shared" ref="S53" si="74">-C53*E53+K53+F53</f>
        <v>0</v>
      </c>
    </row>
    <row r="54" spans="1:19" x14ac:dyDescent="0.25">
      <c r="A54" s="83"/>
      <c r="B54" s="83"/>
      <c r="C54" s="83"/>
      <c r="D54" s="83"/>
      <c r="E54" s="83"/>
      <c r="F54" s="83"/>
      <c r="G54" s="83"/>
      <c r="H54" s="83"/>
      <c r="I54" s="84"/>
      <c r="J54" s="83"/>
      <c r="K54" s="83"/>
      <c r="L54" s="83"/>
      <c r="M54" s="83"/>
      <c r="N54" s="83"/>
      <c r="O54" s="83"/>
      <c r="P54" s="83"/>
      <c r="Q54" s="83"/>
      <c r="R54" s="83"/>
      <c r="S54" s="14">
        <f t="shared" ref="S54" si="75">C54*E54+K54-F54</f>
        <v>0</v>
      </c>
    </row>
    <row r="55" spans="1:19" x14ac:dyDescent="0.25">
      <c r="A55" s="83"/>
      <c r="B55" s="83"/>
      <c r="C55" s="83"/>
      <c r="D55" s="83"/>
      <c r="E55" s="83"/>
      <c r="F55" s="83"/>
      <c r="G55" s="83"/>
      <c r="H55" s="83"/>
      <c r="I55" s="84"/>
      <c r="J55" s="83"/>
      <c r="K55" s="83"/>
      <c r="L55" s="83"/>
      <c r="M55" s="83"/>
      <c r="N55" s="83"/>
      <c r="O55" s="83"/>
      <c r="P55" s="83"/>
      <c r="Q55" s="83"/>
      <c r="R55" s="83"/>
      <c r="S55" s="14">
        <f t="shared" ref="S55" si="76">-C55*E55+K55+F55</f>
        <v>0</v>
      </c>
    </row>
    <row r="56" spans="1:19" x14ac:dyDescent="0.25">
      <c r="A56" s="16"/>
      <c r="B56" s="16"/>
      <c r="C56" s="16"/>
      <c r="D56" s="16"/>
      <c r="E56" s="16"/>
      <c r="F56" s="16"/>
      <c r="G56" s="16"/>
      <c r="H56" s="16"/>
      <c r="I56" s="14"/>
      <c r="J56" s="16"/>
      <c r="K56" s="16"/>
      <c r="L56" s="16"/>
      <c r="M56" s="16"/>
      <c r="N56" s="16"/>
      <c r="O56" s="16"/>
      <c r="P56" s="16"/>
      <c r="Q56" s="16"/>
      <c r="R56" s="16"/>
      <c r="S56" s="14">
        <f t="shared" ref="S56" si="77">C56*E56+K56-F56</f>
        <v>0</v>
      </c>
    </row>
    <row r="57" spans="1:19" x14ac:dyDescent="0.25">
      <c r="A57" s="16"/>
      <c r="B57" s="16"/>
      <c r="C57" s="16"/>
      <c r="D57" s="16"/>
      <c r="E57" s="16"/>
      <c r="F57" s="16"/>
      <c r="G57" s="16"/>
      <c r="H57" s="16"/>
      <c r="I57" s="14"/>
      <c r="J57" s="16"/>
      <c r="K57" s="16"/>
      <c r="L57" s="16"/>
      <c r="M57" s="16"/>
      <c r="N57" s="16"/>
      <c r="O57" s="16"/>
      <c r="P57" s="16"/>
      <c r="Q57" s="16"/>
      <c r="R57" s="16"/>
      <c r="S57" s="14">
        <f t="shared" ref="S57" si="78">-C57*E57+K57+F57</f>
        <v>0</v>
      </c>
    </row>
    <row r="58" spans="1:19" x14ac:dyDescent="0.25">
      <c r="A58" s="83"/>
      <c r="B58" s="83"/>
      <c r="C58" s="83"/>
      <c r="D58" s="83"/>
      <c r="E58" s="83"/>
      <c r="F58" s="83"/>
      <c r="G58" s="83"/>
      <c r="H58" s="83"/>
      <c r="I58" s="84"/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79">C58*E58+K58-F58</f>
        <v>0</v>
      </c>
    </row>
    <row r="59" spans="1:19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80">-C59*E59+K59+F59</f>
        <v>0</v>
      </c>
    </row>
    <row r="60" spans="1:19" x14ac:dyDescent="0.25">
      <c r="A60" s="83"/>
      <c r="B60" s="83"/>
      <c r="C60" s="83"/>
      <c r="D60" s="83"/>
      <c r="E60" s="83"/>
      <c r="F60" s="83"/>
      <c r="G60" s="83"/>
      <c r="H60" s="83"/>
      <c r="I60" s="84" t="s">
        <v>25</v>
      </c>
      <c r="J60" s="83"/>
      <c r="K60" s="83"/>
      <c r="L60" s="83"/>
      <c r="M60" s="83"/>
      <c r="N60" s="83"/>
      <c r="O60" s="83"/>
      <c r="P60" s="83"/>
      <c r="Q60" s="83"/>
      <c r="R60" s="83"/>
      <c r="S60" s="14">
        <f t="shared" ref="S60" si="81">C60*E60+K60-F60</f>
        <v>0</v>
      </c>
    </row>
    <row r="61" spans="1:19" x14ac:dyDescent="0.25">
      <c r="A61" s="83"/>
      <c r="B61" s="83"/>
      <c r="C61" s="83"/>
      <c r="D61" s="83"/>
      <c r="E61" s="83"/>
      <c r="F61" s="83"/>
      <c r="G61" s="83"/>
      <c r="H61" s="83"/>
      <c r="I61" s="84"/>
      <c r="J61" s="83"/>
      <c r="K61" s="83"/>
      <c r="L61" s="83"/>
      <c r="M61" s="83"/>
      <c r="N61" s="83"/>
      <c r="O61" s="83"/>
      <c r="P61" s="83"/>
      <c r="Q61" s="83"/>
      <c r="R61" s="83"/>
      <c r="S61" s="14">
        <f t="shared" ref="S61" si="82">-C61*E61+K61+F61</f>
        <v>0</v>
      </c>
    </row>
    <row r="62" spans="1:19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14">
        <f t="shared" ref="S62" si="83">C62*E62+K62-F62</f>
        <v>0</v>
      </c>
    </row>
    <row r="63" spans="1:19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14">
        <f t="shared" ref="S63" si="84">-C63*E63+K63+F63</f>
        <v>0</v>
      </c>
    </row>
    <row r="64" spans="1:19" x14ac:dyDescent="0.25">
      <c r="A64" s="2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82"/>
      <c r="O64" s="82"/>
      <c r="P64" s="11"/>
      <c r="Q64" s="11"/>
      <c r="R64" s="11"/>
    </row>
    <row r="65" spans="1:19" x14ac:dyDescent="0.25">
      <c r="A65" s="2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3">
        <f>SUM(M2:M63)</f>
        <v>4944891</v>
      </c>
      <c r="N65" s="11"/>
      <c r="O65" s="11"/>
      <c r="P65" s="3">
        <f>SUM(P2:P64)</f>
        <v>3173087.5</v>
      </c>
      <c r="Q65" s="3">
        <f>SUM(Q3:Q64)</f>
        <v>1771803.5</v>
      </c>
      <c r="R65" s="11"/>
    </row>
    <row r="66" spans="1:19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 t="s">
        <v>191</v>
      </c>
      <c r="N66" s="11"/>
      <c r="O66" s="11"/>
      <c r="P66" s="11" t="s">
        <v>1057</v>
      </c>
      <c r="Q66" s="11" t="s">
        <v>1058</v>
      </c>
      <c r="R66" s="11"/>
      <c r="S66" t="s">
        <v>25</v>
      </c>
    </row>
    <row r="67" spans="1:19" x14ac:dyDescent="0.25">
      <c r="A67" s="25"/>
    </row>
    <row r="68" spans="1:19" x14ac:dyDescent="0.25">
      <c r="A68" s="25"/>
    </row>
    <row r="69" spans="1:19" x14ac:dyDescent="0.25">
      <c r="F69" s="7"/>
    </row>
    <row r="71" spans="1:19" x14ac:dyDescent="0.25">
      <c r="E71" s="11" t="s">
        <v>984</v>
      </c>
      <c r="F71" s="11" t="s">
        <v>182</v>
      </c>
    </row>
    <row r="72" spans="1:19" x14ac:dyDescent="0.25">
      <c r="E72" s="11" t="s">
        <v>985</v>
      </c>
      <c r="F72" s="3">
        <v>1782805</v>
      </c>
    </row>
    <row r="73" spans="1:19" x14ac:dyDescent="0.25">
      <c r="E73" s="11" t="s">
        <v>987</v>
      </c>
      <c r="F73" s="3">
        <f>C48*R48*(1-J49/100)</f>
        <v>9792895</v>
      </c>
    </row>
    <row r="74" spans="1:19" x14ac:dyDescent="0.25">
      <c r="E74" s="11" t="s">
        <v>991</v>
      </c>
      <c r="F74" s="3">
        <f>C50*R50*(1-J51/100)</f>
        <v>162522086</v>
      </c>
    </row>
    <row r="75" spans="1:19" x14ac:dyDescent="0.25">
      <c r="E75" s="11" t="s">
        <v>965</v>
      </c>
      <c r="F75" s="3">
        <f>C52*R52*(1-J53/100)</f>
        <v>657123.24</v>
      </c>
    </row>
    <row r="76" spans="1:19" x14ac:dyDescent="0.25">
      <c r="E76" s="11" t="s">
        <v>1046</v>
      </c>
      <c r="F76" s="3">
        <f>-S48</f>
        <v>416020.0625</v>
      </c>
    </row>
    <row r="77" spans="1:19" x14ac:dyDescent="0.25">
      <c r="E77" s="11" t="s">
        <v>1075</v>
      </c>
      <c r="F77" s="3">
        <f>-S50</f>
        <v>8257160.1599999964</v>
      </c>
    </row>
    <row r="78" spans="1:19" x14ac:dyDescent="0.25">
      <c r="E78" s="11"/>
      <c r="F78" s="11"/>
    </row>
    <row r="79" spans="1:19" x14ac:dyDescent="0.25">
      <c r="E79" s="11"/>
      <c r="F79" s="11"/>
    </row>
    <row r="80" spans="1:19" x14ac:dyDescent="0.25">
      <c r="D80" t="s">
        <v>25</v>
      </c>
      <c r="E80" s="11"/>
      <c r="F80" s="11"/>
    </row>
    <row r="81" spans="5:14" x14ac:dyDescent="0.25">
      <c r="E81" s="11" t="s">
        <v>6</v>
      </c>
      <c r="F81" s="29">
        <f>SUM(F72:F80)</f>
        <v>183428089.46250001</v>
      </c>
      <c r="G81" s="25"/>
    </row>
    <row r="82" spans="5:14" x14ac:dyDescent="0.25">
      <c r="E82" s="11"/>
      <c r="F82" s="11"/>
      <c r="I82" s="25"/>
    </row>
    <row r="83" spans="5:14" x14ac:dyDescent="0.25">
      <c r="E83" s="11" t="s">
        <v>980</v>
      </c>
      <c r="F83" s="29">
        <f>F81-AG12</f>
        <v>3677881.2433219254</v>
      </c>
      <c r="I83" s="25"/>
    </row>
    <row r="84" spans="5:14" x14ac:dyDescent="0.25">
      <c r="I84" s="28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  <row r="91" spans="5:14" x14ac:dyDescent="0.25">
      <c r="N91" s="25"/>
    </row>
    <row r="92" spans="5:14" x14ac:dyDescent="0.25">
      <c r="N92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5"/>
  <sheetViews>
    <sheetView tabSelected="1" zoomScaleNormal="100" workbookViewId="0">
      <selection activeCell="K18" sqref="K18"/>
    </sheetView>
  </sheetViews>
  <sheetFormatPr defaultRowHeight="15" x14ac:dyDescent="0.25"/>
  <cols>
    <col min="2" max="3" width="12.42578125" bestFit="1" customWidth="1"/>
    <col min="4" max="5" width="12.42578125" customWidth="1"/>
    <col min="7" max="7" width="9" bestFit="1" customWidth="1"/>
    <col min="8" max="8" width="10.85546875" bestFit="1" customWidth="1"/>
    <col min="9" max="9" width="17.5703125" bestFit="1" customWidth="1"/>
    <col min="10" max="11" width="12.42578125" bestFit="1" customWidth="1"/>
    <col min="12" max="13" width="26" bestFit="1" customWidth="1"/>
    <col min="15" max="18" width="12.42578125" bestFit="1" customWidth="1"/>
    <col min="19" max="19" width="11.42578125" bestFit="1" customWidth="1"/>
    <col min="20" max="20" width="18.85546875" bestFit="1" customWidth="1"/>
    <col min="21" max="21" width="15.140625" bestFit="1" customWidth="1"/>
    <col min="22" max="23" width="12.42578125" bestFit="1" customWidth="1"/>
    <col min="29" max="29" width="38.42578125" bestFit="1" customWidth="1"/>
    <col min="30" max="30" width="14.5703125" bestFit="1" customWidth="1"/>
  </cols>
  <sheetData>
    <row r="1" spans="1:30" x14ac:dyDescent="0.25">
      <c r="A1" s="11" t="s">
        <v>986</v>
      </c>
      <c r="B1" s="11" t="s">
        <v>1003</v>
      </c>
      <c r="C1" s="11" t="s">
        <v>1095</v>
      </c>
      <c r="D1" s="11" t="s">
        <v>999</v>
      </c>
      <c r="E1" s="11" t="s">
        <v>1085</v>
      </c>
      <c r="F1" s="11" t="s">
        <v>1001</v>
      </c>
      <c r="G1" s="11" t="s">
        <v>1091</v>
      </c>
      <c r="H1" s="11" t="s">
        <v>1002</v>
      </c>
      <c r="I1" s="11" t="s">
        <v>1037</v>
      </c>
      <c r="J1" s="11" t="s">
        <v>1014</v>
      </c>
      <c r="K1" s="11" t="s">
        <v>968</v>
      </c>
      <c r="L1" s="69" t="s">
        <v>1090</v>
      </c>
      <c r="N1">
        <v>96</v>
      </c>
      <c r="O1">
        <v>12</v>
      </c>
      <c r="P1" s="3">
        <v>85500</v>
      </c>
      <c r="Q1" s="3">
        <f>P1</f>
        <v>85500</v>
      </c>
      <c r="R1" s="3">
        <v>0</v>
      </c>
      <c r="T1" t="s">
        <v>982</v>
      </c>
      <c r="U1" t="s">
        <v>1042</v>
      </c>
      <c r="V1" t="s">
        <v>1043</v>
      </c>
      <c r="Z1">
        <v>0.88</v>
      </c>
      <c r="AA1" t="s">
        <v>1076</v>
      </c>
      <c r="AC1" t="s">
        <v>1086</v>
      </c>
      <c r="AD1" t="s">
        <v>1087</v>
      </c>
    </row>
    <row r="2" spans="1:30" x14ac:dyDescent="0.25">
      <c r="A2" s="11" t="s">
        <v>992</v>
      </c>
      <c r="B2" s="43">
        <f>J2/(1+($T$2-F2+G2)/36500)^E2</f>
        <v>92826.460288392773</v>
      </c>
      <c r="C2" s="43">
        <f>J2/(1+($T$3-F2+G2)/36500)^E2</f>
        <v>93279.485172219313</v>
      </c>
      <c r="D2" s="11" t="s">
        <v>1023</v>
      </c>
      <c r="E2" s="20">
        <f>132-$U$8</f>
        <v>127</v>
      </c>
      <c r="F2" s="11">
        <v>0</v>
      </c>
      <c r="G2" s="11">
        <v>0</v>
      </c>
      <c r="H2" s="11">
        <v>0</v>
      </c>
      <c r="I2" s="20">
        <f>E2/30.5</f>
        <v>4.1639344262295079</v>
      </c>
      <c r="J2" s="3">
        <v>100000</v>
      </c>
      <c r="K2" s="3">
        <v>92020</v>
      </c>
      <c r="L2" s="3">
        <f>B2*(1+$T$2/36500)^E2</f>
        <v>100000</v>
      </c>
      <c r="N2">
        <v>97</v>
      </c>
      <c r="O2">
        <v>1</v>
      </c>
      <c r="P2">
        <f>$W$2</f>
        <v>1185</v>
      </c>
      <c r="Q2" s="3">
        <f>Q1*(1+($T$2+0.1875)/1200)</f>
        <v>87038.109374999985</v>
      </c>
      <c r="R2" s="3">
        <f t="shared" ref="R2:R49" si="0">P2+R1*(1+$T$2/1200)</f>
        <v>1185</v>
      </c>
      <c r="S2" t="s">
        <v>61</v>
      </c>
      <c r="T2">
        <v>21.4</v>
      </c>
      <c r="U2">
        <v>14.22</v>
      </c>
      <c r="V2" s="3">
        <v>100000</v>
      </c>
      <c r="W2">
        <f>V2*U2/(100*12)</f>
        <v>1185</v>
      </c>
      <c r="Z2">
        <v>0.78</v>
      </c>
      <c r="AA2" t="s">
        <v>1077</v>
      </c>
    </row>
    <row r="3" spans="1:30" x14ac:dyDescent="0.25">
      <c r="A3" s="16" t="s">
        <v>993</v>
      </c>
      <c r="B3" s="14">
        <f>J3/(1+($T$2-F3+G3)/36500)^E3</f>
        <v>90941.568591026313</v>
      </c>
      <c r="C3" s="14">
        <f>J3/(1+($T$3-F3+G3)/36500)^E3</f>
        <v>91508.089076346587</v>
      </c>
      <c r="D3" s="16" t="s">
        <v>1024</v>
      </c>
      <c r="E3" s="16">
        <f>167-$U$8</f>
        <v>162</v>
      </c>
      <c r="F3" s="16">
        <v>0</v>
      </c>
      <c r="G3" s="16">
        <v>0</v>
      </c>
      <c r="H3" s="16">
        <v>0</v>
      </c>
      <c r="I3" s="16">
        <f>E3/30.5</f>
        <v>5.3114754098360653</v>
      </c>
      <c r="J3" s="14">
        <v>100000</v>
      </c>
      <c r="K3" s="14">
        <v>90100</v>
      </c>
      <c r="L3" s="14">
        <f>B3*(1+$T$2/36500)^E3</f>
        <v>99999.999999999985</v>
      </c>
      <c r="N3">
        <v>97</v>
      </c>
      <c r="O3">
        <v>2</v>
      </c>
      <c r="P3">
        <f t="shared" ref="P3" si="1">$W$2</f>
        <v>1185</v>
      </c>
      <c r="Q3" s="3">
        <f t="shared" ref="Q3:Q49" si="2">Q2*(1+($T$2+0.1875)/1200)</f>
        <v>88603.888696777314</v>
      </c>
      <c r="R3" s="3">
        <f t="shared" si="0"/>
        <v>2391.1324999999997</v>
      </c>
      <c r="S3" t="s">
        <v>976</v>
      </c>
      <c r="T3">
        <v>20</v>
      </c>
    </row>
    <row r="4" spans="1:30" x14ac:dyDescent="0.25">
      <c r="A4" s="11" t="s">
        <v>994</v>
      </c>
      <c r="B4" s="43">
        <f>J4/(1+($T$2-F4+G4)/36500)^E4</f>
        <v>89408.829347247549</v>
      </c>
      <c r="C4" s="43">
        <f>J4/(1+($T$3-F4+G4)/36500)^E4</f>
        <v>90065.872075974417</v>
      </c>
      <c r="D4" s="11" t="s">
        <v>1025</v>
      </c>
      <c r="E4" s="20">
        <f>196-$U$8</f>
        <v>191</v>
      </c>
      <c r="F4" s="11">
        <v>0</v>
      </c>
      <c r="G4" s="11">
        <v>0</v>
      </c>
      <c r="H4" s="11">
        <v>0</v>
      </c>
      <c r="I4" s="20">
        <f>E4/30.5</f>
        <v>6.2622950819672134</v>
      </c>
      <c r="J4" s="3">
        <v>100000</v>
      </c>
      <c r="K4" s="3">
        <v>88600</v>
      </c>
      <c r="L4" s="3">
        <f>B4*(1+$T$2/36500)^E4</f>
        <v>100000</v>
      </c>
      <c r="N4">
        <v>97</v>
      </c>
      <c r="O4">
        <v>3</v>
      </c>
      <c r="P4">
        <f t="shared" ref="P4:P49" si="3">$W$2</f>
        <v>1185</v>
      </c>
      <c r="Q4" s="3">
        <f t="shared" si="2"/>
        <v>90197.835736145367</v>
      </c>
      <c r="R4" s="3">
        <f t="shared" si="0"/>
        <v>3618.7743629166666</v>
      </c>
      <c r="T4" s="87">
        <f>V2*((1+$T$2/36500)^365)</f>
        <v>123854.4983528483</v>
      </c>
      <c r="U4">
        <v>21.4</v>
      </c>
    </row>
    <row r="5" spans="1:30" x14ac:dyDescent="0.25">
      <c r="A5" s="16" t="s">
        <v>995</v>
      </c>
      <c r="B5" s="14">
        <f>J5/(1+($T$2-F5+G5)/36500)^E5</f>
        <v>70515.811891394638</v>
      </c>
      <c r="C5" s="14">
        <f>J5/(1+($T$3-F5+G5)/36500)^E5</f>
        <v>72145.454572576287</v>
      </c>
      <c r="D5" s="16" t="s">
        <v>1026</v>
      </c>
      <c r="E5" s="16">
        <f>601-$U$8</f>
        <v>596</v>
      </c>
      <c r="F5" s="16">
        <v>0</v>
      </c>
      <c r="G5" s="16">
        <v>0</v>
      </c>
      <c r="H5" s="16">
        <v>0</v>
      </c>
      <c r="I5" s="16">
        <f>E5/30.5</f>
        <v>19.540983606557376</v>
      </c>
      <c r="J5" s="14">
        <v>100000</v>
      </c>
      <c r="K5" s="14">
        <v>71000</v>
      </c>
      <c r="L5" s="14">
        <f>B5*(1+$T$2/36500)^E5</f>
        <v>100000</v>
      </c>
      <c r="N5">
        <v>97</v>
      </c>
      <c r="O5">
        <v>4</v>
      </c>
      <c r="P5">
        <f t="shared" si="3"/>
        <v>1185</v>
      </c>
      <c r="Q5" s="3">
        <f t="shared" si="2"/>
        <v>91820.457218607058</v>
      </c>
      <c r="R5" s="3">
        <f t="shared" si="0"/>
        <v>4868.309172388681</v>
      </c>
    </row>
    <row r="6" spans="1:30" x14ac:dyDescent="0.25">
      <c r="A6" s="11" t="s">
        <v>996</v>
      </c>
      <c r="B6" s="43">
        <f>J6/(1+($T$2-F6+G6)/36500)^E6</f>
        <v>85513.443101129844</v>
      </c>
      <c r="C6" s="43">
        <f>J6/(1+($T$3-F6+G6)/36500)^E6</f>
        <v>86393.192660650035</v>
      </c>
      <c r="D6" s="11" t="s">
        <v>1027</v>
      </c>
      <c r="E6" s="20">
        <f>272-$U$8</f>
        <v>267</v>
      </c>
      <c r="F6" s="11">
        <v>0</v>
      </c>
      <c r="G6" s="11">
        <v>0</v>
      </c>
      <c r="H6" s="11">
        <v>0</v>
      </c>
      <c r="I6" s="20">
        <f>E6/30.5</f>
        <v>8.7540983606557372</v>
      </c>
      <c r="J6" s="3">
        <v>100000</v>
      </c>
      <c r="K6" s="3">
        <v>84500</v>
      </c>
      <c r="L6" s="3">
        <f>B6*(1+$T$2/36500)^E6</f>
        <v>99999.999999999985</v>
      </c>
      <c r="N6">
        <v>97</v>
      </c>
      <c r="O6">
        <v>5</v>
      </c>
      <c r="P6">
        <f t="shared" si="3"/>
        <v>1185</v>
      </c>
      <c r="Q6" s="3">
        <f t="shared" si="2"/>
        <v>93472.268985445946</v>
      </c>
      <c r="R6" s="3">
        <f t="shared" si="0"/>
        <v>6140.1273526296127</v>
      </c>
    </row>
    <row r="7" spans="1:30" x14ac:dyDescent="0.25">
      <c r="A7" s="16" t="s">
        <v>997</v>
      </c>
      <c r="B7" s="14">
        <f>J7/(1+($T$2-F7+G7)/36500)^E7</f>
        <v>71682.639728955313</v>
      </c>
      <c r="C7" s="14">
        <f>J7/(1+($T$3-F7+G7)/36500)^E7</f>
        <v>73260.570702792829</v>
      </c>
      <c r="D7" s="16" t="s">
        <v>1028</v>
      </c>
      <c r="E7" s="16">
        <f>573-$U$8</f>
        <v>568</v>
      </c>
      <c r="F7" s="16">
        <v>0</v>
      </c>
      <c r="G7" s="16">
        <v>0</v>
      </c>
      <c r="H7" s="16">
        <v>0</v>
      </c>
      <c r="I7" s="16">
        <f>E7/30.5</f>
        <v>18.622950819672131</v>
      </c>
      <c r="J7" s="14">
        <v>100000</v>
      </c>
      <c r="K7" s="14">
        <v>71000</v>
      </c>
      <c r="L7" s="14">
        <f>B7*(1+$T$2/36500)^E7</f>
        <v>100000</v>
      </c>
      <c r="N7">
        <v>97</v>
      </c>
      <c r="O7">
        <v>6</v>
      </c>
      <c r="P7">
        <f t="shared" si="3"/>
        <v>1185</v>
      </c>
      <c r="Q7" s="3">
        <f t="shared" si="2"/>
        <v>95153.796157715362</v>
      </c>
      <c r="R7" s="3">
        <f t="shared" si="0"/>
        <v>7434.626290418174</v>
      </c>
      <c r="T7" t="s">
        <v>1038</v>
      </c>
      <c r="U7" t="s">
        <v>1084</v>
      </c>
    </row>
    <row r="8" spans="1:30" x14ac:dyDescent="0.25">
      <c r="A8" s="11" t="s">
        <v>998</v>
      </c>
      <c r="B8" s="43">
        <f>J8/(1+($T$2-F8+G8)/36500)^E8</f>
        <v>84814.606884714827</v>
      </c>
      <c r="C8" s="43">
        <f>J8/(1+($T$3-F8+G8)/36500)^E8</f>
        <v>85733.166018404489</v>
      </c>
      <c r="D8" s="11" t="s">
        <v>1030</v>
      </c>
      <c r="E8" s="20">
        <f>286-$U$8</f>
        <v>281</v>
      </c>
      <c r="F8" s="11">
        <v>0</v>
      </c>
      <c r="G8" s="11">
        <v>0</v>
      </c>
      <c r="H8" s="11">
        <v>0</v>
      </c>
      <c r="I8" s="20">
        <f>E8/30.5</f>
        <v>9.2131147540983598</v>
      </c>
      <c r="J8" s="3">
        <v>100000</v>
      </c>
      <c r="K8" s="3">
        <v>84000</v>
      </c>
      <c r="L8" s="3">
        <f>B8*(1+$T$2/36500)^E8</f>
        <v>100000</v>
      </c>
      <c r="N8">
        <v>97</v>
      </c>
      <c r="O8">
        <v>7</v>
      </c>
      <c r="P8">
        <f t="shared" si="3"/>
        <v>1185</v>
      </c>
      <c r="Q8" s="3">
        <f t="shared" si="2"/>
        <v>96865.573303177589</v>
      </c>
      <c r="R8" s="3">
        <f t="shared" si="0"/>
        <v>8752.2104592639662</v>
      </c>
      <c r="T8" t="s">
        <v>1093</v>
      </c>
      <c r="U8">
        <v>5</v>
      </c>
    </row>
    <row r="9" spans="1:30" x14ac:dyDescent="0.25">
      <c r="A9" s="16" t="s">
        <v>1015</v>
      </c>
      <c r="B9" s="14">
        <f>J9/(1+($T$2-F9+G9)/36500)^E9</f>
        <v>76188.159924427819</v>
      </c>
      <c r="C9" s="14">
        <f>J9/(1+($T$3-F9+G9)/36500)^E9</f>
        <v>77555.456003801039</v>
      </c>
      <c r="D9" s="16" t="s">
        <v>1029</v>
      </c>
      <c r="E9" s="16">
        <f>469-$U$8</f>
        <v>464</v>
      </c>
      <c r="F9" s="16">
        <v>0</v>
      </c>
      <c r="G9" s="16">
        <v>0</v>
      </c>
      <c r="H9" s="16">
        <v>0</v>
      </c>
      <c r="I9" s="16">
        <f>E9/30.5</f>
        <v>15.21311475409836</v>
      </c>
      <c r="J9" s="14">
        <v>100000</v>
      </c>
      <c r="K9" s="14">
        <v>75500</v>
      </c>
      <c r="L9" s="14">
        <f>B9*(1+$T$2/36500)^E9</f>
        <v>100000</v>
      </c>
      <c r="N9">
        <v>97</v>
      </c>
      <c r="O9">
        <v>8</v>
      </c>
      <c r="P9">
        <f t="shared" si="3"/>
        <v>1185</v>
      </c>
      <c r="Q9" s="3">
        <f t="shared" si="2"/>
        <v>98608.144606246206</v>
      </c>
      <c r="R9" s="3">
        <f t="shared" si="0"/>
        <v>10093.291545787508</v>
      </c>
    </row>
    <row r="10" spans="1:30" x14ac:dyDescent="0.25">
      <c r="A10" s="11" t="s">
        <v>1016</v>
      </c>
      <c r="B10" s="43">
        <f>J10/(1+($T$2-F10+G10)/36500)^E10</f>
        <v>76188.159924427819</v>
      </c>
      <c r="C10" s="43">
        <f>J10/(1+($T$3-F10+G10)/36500)^E10</f>
        <v>77555.456003801039</v>
      </c>
      <c r="D10" s="11" t="s">
        <v>1029</v>
      </c>
      <c r="E10" s="20">
        <f>469-$U$8</f>
        <v>464</v>
      </c>
      <c r="F10" s="11">
        <v>0</v>
      </c>
      <c r="G10" s="11">
        <v>0</v>
      </c>
      <c r="H10" s="11">
        <v>0</v>
      </c>
      <c r="I10" s="20">
        <f>E10/30.5</f>
        <v>15.21311475409836</v>
      </c>
      <c r="J10" s="3">
        <v>100000</v>
      </c>
      <c r="K10" s="3">
        <v>75500</v>
      </c>
      <c r="L10" s="3">
        <f>B10*(1+$T$2/36500)^E10</f>
        <v>100000</v>
      </c>
      <c r="N10">
        <v>97</v>
      </c>
      <c r="O10">
        <v>9</v>
      </c>
      <c r="P10">
        <f t="shared" si="3"/>
        <v>1185</v>
      </c>
      <c r="Q10" s="3">
        <f t="shared" si="2"/>
        <v>100382.06404098564</v>
      </c>
      <c r="R10" s="3">
        <f t="shared" si="0"/>
        <v>11458.288578354051</v>
      </c>
      <c r="V10" s="25"/>
      <c r="W10" s="26"/>
    </row>
    <row r="11" spans="1:30" x14ac:dyDescent="0.25">
      <c r="A11" s="16" t="s">
        <v>1017</v>
      </c>
      <c r="B11" s="14">
        <f>J11/(1+($T$2-F11+G11)/36500)^E11</f>
        <v>69653.172336007148</v>
      </c>
      <c r="C11" s="14">
        <f>J11/(1+($T$3-F11+G11)/36500)^E11</f>
        <v>71320.270492205644</v>
      </c>
      <c r="D11" s="16" t="s">
        <v>1033</v>
      </c>
      <c r="E11" s="16">
        <f>622-$U$8</f>
        <v>617</v>
      </c>
      <c r="F11" s="16">
        <v>0</v>
      </c>
      <c r="G11" s="16">
        <v>0</v>
      </c>
      <c r="H11" s="16">
        <v>0</v>
      </c>
      <c r="I11" s="16">
        <f>E11/30.5</f>
        <v>20.229508196721312</v>
      </c>
      <c r="J11" s="14">
        <v>100000</v>
      </c>
      <c r="K11" s="14">
        <v>70000</v>
      </c>
      <c r="L11" s="14">
        <f>B11*(1+$T$2/36500)^E11</f>
        <v>100000</v>
      </c>
      <c r="N11">
        <v>97</v>
      </c>
      <c r="O11">
        <v>10</v>
      </c>
      <c r="P11">
        <f t="shared" si="3"/>
        <v>1185</v>
      </c>
      <c r="Q11" s="3">
        <f t="shared" si="2"/>
        <v>102187.89554722294</v>
      </c>
      <c r="R11" s="3">
        <f t="shared" si="0"/>
        <v>12847.628058001366</v>
      </c>
      <c r="V11" s="25"/>
      <c r="W11" s="26"/>
    </row>
    <row r="12" spans="1:30" x14ac:dyDescent="0.25">
      <c r="A12" s="11" t="s">
        <v>1018</v>
      </c>
      <c r="B12" s="43">
        <f>J12/(1+($T$2-F12+G12)/36500)^E12</f>
        <v>86167.517296725622</v>
      </c>
      <c r="C12" s="43">
        <f>J12/(1+($T$3-F12+G12)/36500)^E12</f>
        <v>87010.623539942841</v>
      </c>
      <c r="D12" s="11" t="s">
        <v>1034</v>
      </c>
      <c r="E12" s="20">
        <f>259-$U$8</f>
        <v>254</v>
      </c>
      <c r="F12" s="11">
        <v>0</v>
      </c>
      <c r="G12" s="11">
        <v>0</v>
      </c>
      <c r="H12" s="11">
        <v>0</v>
      </c>
      <c r="I12" s="20">
        <f>E12/30.5</f>
        <v>8.3278688524590159</v>
      </c>
      <c r="J12" s="3">
        <v>100000</v>
      </c>
      <c r="K12" s="3">
        <v>86600</v>
      </c>
      <c r="L12" s="3">
        <f>B12*(1+$T$2/36500)^E12</f>
        <v>100000</v>
      </c>
      <c r="N12">
        <v>97</v>
      </c>
      <c r="O12">
        <v>11</v>
      </c>
      <c r="P12">
        <f t="shared" si="3"/>
        <v>1185</v>
      </c>
      <c r="Q12" s="3">
        <f t="shared" si="2"/>
        <v>104026.21320982766</v>
      </c>
      <c r="R12" s="3">
        <f t="shared" si="0"/>
        <v>14261.744091702391</v>
      </c>
      <c r="T12" t="s">
        <v>977</v>
      </c>
      <c r="U12" t="s">
        <v>1094</v>
      </c>
      <c r="V12" s="25"/>
      <c r="W12" s="26"/>
    </row>
    <row r="13" spans="1:30" x14ac:dyDescent="0.25">
      <c r="A13" s="16" t="s">
        <v>1019</v>
      </c>
      <c r="B13" s="14">
        <f>J13/(1+($T$2-F13+G13)/36500)^E13</f>
        <v>67128.056321201264</v>
      </c>
      <c r="C13" s="14">
        <f>J13/(1+($T$3-F13+G13)/36500)^E13</f>
        <v>68900.917334475962</v>
      </c>
      <c r="D13" s="16" t="s">
        <v>1035</v>
      </c>
      <c r="E13" s="16">
        <f>685-$U$8</f>
        <v>680</v>
      </c>
      <c r="F13" s="16">
        <v>0</v>
      </c>
      <c r="G13" s="16">
        <v>0</v>
      </c>
      <c r="H13" s="16">
        <v>0</v>
      </c>
      <c r="I13" s="16">
        <f>E13/30.5</f>
        <v>22.295081967213115</v>
      </c>
      <c r="J13" s="14">
        <v>100000</v>
      </c>
      <c r="K13" s="14">
        <v>68000</v>
      </c>
      <c r="L13" s="14">
        <f>B13*(1+$T$2/36500)^E13</f>
        <v>100000</v>
      </c>
      <c r="N13">
        <v>97</v>
      </c>
      <c r="O13">
        <v>12</v>
      </c>
      <c r="P13">
        <f t="shared" si="3"/>
        <v>1185</v>
      </c>
      <c r="Q13" s="3">
        <f t="shared" si="2"/>
        <v>105897.60144121695</v>
      </c>
      <c r="R13" s="3">
        <f t="shared" si="0"/>
        <v>15701.078528004417</v>
      </c>
      <c r="T13">
        <v>85600</v>
      </c>
      <c r="U13">
        <v>980</v>
      </c>
      <c r="V13" s="3">
        <f>T13*(1+T2/36500)^U13</f>
        <v>152032.18688719775</v>
      </c>
      <c r="W13" s="26"/>
    </row>
    <row r="14" spans="1:30" x14ac:dyDescent="0.25">
      <c r="A14" s="11" t="s">
        <v>1020</v>
      </c>
      <c r="B14" s="43">
        <f>J14/(1+($T$2-F14+G14)/36500)^E14</f>
        <v>68238.826837714019</v>
      </c>
      <c r="C14" s="43">
        <f>J14/(1+($T$3-F14+G14)/36500)^E14</f>
        <v>69965.884278846643</v>
      </c>
      <c r="D14" s="11" t="s">
        <v>1036</v>
      </c>
      <c r="E14" s="20">
        <f>657-$U$8</f>
        <v>652</v>
      </c>
      <c r="F14" s="11">
        <v>0</v>
      </c>
      <c r="G14" s="11">
        <v>0</v>
      </c>
      <c r="H14" s="11">
        <v>0</v>
      </c>
      <c r="I14" s="20">
        <f>E14/30.5</f>
        <v>21.377049180327869</v>
      </c>
      <c r="J14" s="3">
        <v>100000</v>
      </c>
      <c r="K14" s="3">
        <v>69000</v>
      </c>
      <c r="L14" s="3">
        <f>B14*(1+$T$2/36500)^E14</f>
        <v>100000</v>
      </c>
      <c r="N14">
        <v>98</v>
      </c>
      <c r="O14">
        <v>1</v>
      </c>
      <c r="P14">
        <f t="shared" si="3"/>
        <v>1185</v>
      </c>
      <c r="Q14" s="3">
        <f t="shared" si="2"/>
        <v>107802.65516714382</v>
      </c>
      <c r="R14" s="3">
        <f t="shared" si="0"/>
        <v>17166.08109508716</v>
      </c>
      <c r="V14" s="25"/>
      <c r="W14" s="26"/>
    </row>
    <row r="15" spans="1:30" x14ac:dyDescent="0.25">
      <c r="A15" s="16" t="s">
        <v>1021</v>
      </c>
      <c r="B15" s="14">
        <f>J15/(1+($T$2-F15+G15)/36500)^E15</f>
        <v>68238.826837714019</v>
      </c>
      <c r="C15" s="14">
        <f>J15/(1+($T$3-F15+G15)/36500)^E15</f>
        <v>69965.884278846643</v>
      </c>
      <c r="D15" s="16" t="s">
        <v>1036</v>
      </c>
      <c r="E15" s="16">
        <f>657-$U$8</f>
        <v>652</v>
      </c>
      <c r="F15" s="16">
        <v>0</v>
      </c>
      <c r="G15" s="16">
        <v>0</v>
      </c>
      <c r="H15" s="16">
        <v>0</v>
      </c>
      <c r="I15" s="16">
        <f>E15/30.5</f>
        <v>21.377049180327869</v>
      </c>
      <c r="J15" s="14">
        <v>100000</v>
      </c>
      <c r="K15" s="14">
        <v>69000</v>
      </c>
      <c r="L15" s="14">
        <f>B15*(1+$T$2/36500)^E15</f>
        <v>100000</v>
      </c>
      <c r="N15">
        <v>98</v>
      </c>
      <c r="O15">
        <v>2</v>
      </c>
      <c r="P15">
        <f t="shared" si="3"/>
        <v>1185</v>
      </c>
      <c r="Q15" s="3">
        <f t="shared" si="2"/>
        <v>109741.98001582774</v>
      </c>
      <c r="R15" s="3">
        <f t="shared" si="0"/>
        <v>18657.209541282882</v>
      </c>
      <c r="V15" s="25"/>
      <c r="W15" s="26"/>
    </row>
    <row r="16" spans="1:30" x14ac:dyDescent="0.25">
      <c r="A16" s="11" t="s">
        <v>1022</v>
      </c>
      <c r="B16" s="43">
        <f>J16/(1+($T$2-F16+G16)/36500)^E16</f>
        <v>70515.811891394638</v>
      </c>
      <c r="C16" s="43">
        <f>J16/(1+($T$3-F16+G16)/36500)^E16</f>
        <v>72145.454572576287</v>
      </c>
      <c r="D16" s="11" t="s">
        <v>1026</v>
      </c>
      <c r="E16" s="20">
        <f>601-$U$8</f>
        <v>596</v>
      </c>
      <c r="F16" s="11">
        <v>0</v>
      </c>
      <c r="G16" s="11">
        <v>0</v>
      </c>
      <c r="H16" s="11">
        <v>0</v>
      </c>
      <c r="I16" s="20">
        <f>E16/30.5</f>
        <v>19.540983606557376</v>
      </c>
      <c r="J16" s="3">
        <v>100000</v>
      </c>
      <c r="K16" s="3">
        <v>70500</v>
      </c>
      <c r="L16" s="3">
        <f>B16*(1+$T$2/36500)^E16</f>
        <v>100000</v>
      </c>
      <c r="N16">
        <v>98</v>
      </c>
      <c r="O16">
        <v>3</v>
      </c>
      <c r="P16">
        <f t="shared" si="3"/>
        <v>1185</v>
      </c>
      <c r="Q16" s="3">
        <f t="shared" si="2"/>
        <v>111716.19251048745</v>
      </c>
      <c r="R16" s="3">
        <f t="shared" si="0"/>
        <v>20174.929778102429</v>
      </c>
      <c r="V16" s="25"/>
      <c r="W16" s="26"/>
    </row>
    <row r="17" spans="1:23" x14ac:dyDescent="0.25">
      <c r="A17" s="16" t="s">
        <v>1040</v>
      </c>
      <c r="B17" s="14">
        <f>J17/(1+($T$2-F17+G17)/36500)^E17</f>
        <v>82075.094397438967</v>
      </c>
      <c r="C17" s="14">
        <f>J17/(1+($T$3-F17+G17)/36500)^E17</f>
        <v>86575.757670912295</v>
      </c>
      <c r="D17" s="16" t="s">
        <v>1041</v>
      </c>
      <c r="E17" s="16">
        <f>1397-$U$8</f>
        <v>1392</v>
      </c>
      <c r="F17" s="16">
        <v>17</v>
      </c>
      <c r="G17" s="16">
        <f>$Z$2</f>
        <v>0.78</v>
      </c>
      <c r="H17" s="16">
        <v>6</v>
      </c>
      <c r="I17" s="16">
        <f>E17/30.5</f>
        <v>45.639344262295083</v>
      </c>
      <c r="J17" s="14">
        <v>100000</v>
      </c>
      <c r="K17" s="14">
        <v>96000</v>
      </c>
      <c r="L17" s="14">
        <f>B17*(1+$T$2/36500)^E17</f>
        <v>185587.59193824147</v>
      </c>
      <c r="N17">
        <v>98</v>
      </c>
      <c r="O17">
        <v>4</v>
      </c>
      <c r="P17">
        <f t="shared" si="3"/>
        <v>1185</v>
      </c>
      <c r="Q17" s="3">
        <f t="shared" si="2"/>
        <v>113725.92026533757</v>
      </c>
      <c r="R17" s="3">
        <f t="shared" si="0"/>
        <v>21719.716025811922</v>
      </c>
      <c r="T17" s="87">
        <f>U17*((1+$T$2/36500)^30)</f>
        <v>10177393.935431281</v>
      </c>
      <c r="U17" s="3">
        <v>10000000</v>
      </c>
      <c r="V17" s="25"/>
      <c r="W17" s="26"/>
    </row>
    <row r="18" spans="1:23" x14ac:dyDescent="0.25">
      <c r="A18" s="11" t="s">
        <v>987</v>
      </c>
      <c r="B18" s="88">
        <f>J18/(1+($T$2-F18+G18)/36500)^E18</f>
        <v>98058.794439591555</v>
      </c>
      <c r="C18" s="88">
        <f>J18/(1+($T$3-F18+G18)/36500)^E18</f>
        <v>100183.95010503675</v>
      </c>
      <c r="D18" s="11" t="s">
        <v>1007</v>
      </c>
      <c r="E18" s="20">
        <f>564-$U$8</f>
        <v>559</v>
      </c>
      <c r="F18" s="11">
        <v>21</v>
      </c>
      <c r="G18" s="11">
        <f>$Z$1</f>
        <v>0.88</v>
      </c>
      <c r="H18" s="11">
        <v>3</v>
      </c>
      <c r="I18" s="20">
        <f>E18/30.5</f>
        <v>18.327868852459016</v>
      </c>
      <c r="J18" s="3">
        <v>100000</v>
      </c>
      <c r="K18" s="3">
        <v>98000</v>
      </c>
      <c r="L18" s="3">
        <f>B18*(1+$T$2/36500)^E18</f>
        <v>136076.01554237539</v>
      </c>
      <c r="N18">
        <v>98</v>
      </c>
      <c r="O18">
        <v>5</v>
      </c>
      <c r="P18">
        <f t="shared" si="3"/>
        <v>1185</v>
      </c>
      <c r="Q18" s="3">
        <f t="shared" si="2"/>
        <v>115771.80218511086</v>
      </c>
      <c r="R18" s="3">
        <f t="shared" si="0"/>
        <v>23292.050961605568</v>
      </c>
      <c r="V18" s="25"/>
      <c r="W18" s="26"/>
    </row>
    <row r="19" spans="1:23" x14ac:dyDescent="0.25">
      <c r="A19" s="16" t="s">
        <v>988</v>
      </c>
      <c r="B19" s="14">
        <f>J19/(1+($T$2-F19+G19)/36500)^E19</f>
        <v>90565.663304384943</v>
      </c>
      <c r="C19" s="14">
        <f>J19/(1+($T$3-F19+G19)/36500)^E19</f>
        <v>92588.498036056058</v>
      </c>
      <c r="D19" s="16" t="s">
        <v>1008</v>
      </c>
      <c r="E19" s="16">
        <f>581-$U$8</f>
        <v>576</v>
      </c>
      <c r="F19" s="16">
        <v>16</v>
      </c>
      <c r="G19" s="11">
        <f>$Z$1</f>
        <v>0.88</v>
      </c>
      <c r="H19" s="16">
        <v>3</v>
      </c>
      <c r="I19" s="16">
        <f>E19/30.5</f>
        <v>18.885245901639344</v>
      </c>
      <c r="J19" s="14">
        <v>100000</v>
      </c>
      <c r="K19" s="14">
        <v>91000</v>
      </c>
      <c r="L19" s="14">
        <f>B19*(1+$T$2/36500)^E19</f>
        <v>126936.3496429904</v>
      </c>
      <c r="N19">
        <v>98</v>
      </c>
      <c r="O19">
        <v>6</v>
      </c>
      <c r="P19">
        <f t="shared" si="3"/>
        <v>1185</v>
      </c>
      <c r="Q19" s="3">
        <f t="shared" si="2"/>
        <v>117854.48866817009</v>
      </c>
      <c r="R19" s="3">
        <f t="shared" si="0"/>
        <v>24892.42587042087</v>
      </c>
      <c r="V19" s="25"/>
      <c r="W19" s="26"/>
    </row>
    <row r="20" spans="1:23" x14ac:dyDescent="0.25">
      <c r="A20" s="20" t="s">
        <v>981</v>
      </c>
      <c r="B20" s="43">
        <f>J20/(1+($T$2-F20+G20)/36500)^E20</f>
        <v>97821.810012111615</v>
      </c>
      <c r="C20" s="43">
        <f>J20/(1+($T$3-F20+G20)/36500)^E20</f>
        <v>100206.67938082531</v>
      </c>
      <c r="D20" s="11" t="s">
        <v>1009</v>
      </c>
      <c r="E20" s="20">
        <f>633-$U$8</f>
        <v>628</v>
      </c>
      <c r="F20" s="11">
        <v>21</v>
      </c>
      <c r="G20" s="11">
        <f>$Z$1</f>
        <v>0.88</v>
      </c>
      <c r="H20" s="11">
        <v>3</v>
      </c>
      <c r="I20" s="20">
        <f>E20/30.5</f>
        <v>20.590163934426229</v>
      </c>
      <c r="J20" s="3">
        <v>100000</v>
      </c>
      <c r="K20" s="3">
        <v>97200</v>
      </c>
      <c r="L20" s="3">
        <f>B20*(1+$T$2/36500)^E20</f>
        <v>141349.69460848009</v>
      </c>
      <c r="N20">
        <v>98</v>
      </c>
      <c r="O20" s="9">
        <v>7</v>
      </c>
      <c r="P20">
        <f t="shared" si="3"/>
        <v>1185</v>
      </c>
      <c r="Q20" s="3">
        <f t="shared" si="2"/>
        <v>119974.64181327351</v>
      </c>
      <c r="R20" s="3">
        <f t="shared" si="0"/>
        <v>26521.340798443376</v>
      </c>
      <c r="V20" s="25"/>
      <c r="W20" s="26"/>
    </row>
    <row r="21" spans="1:23" x14ac:dyDescent="0.25">
      <c r="A21" s="16" t="s">
        <v>974</v>
      </c>
      <c r="B21" s="14">
        <f>J21/(1+($T$2-F21+G21)/36500)^E21</f>
        <v>97588.820491639824</v>
      </c>
      <c r="C21" s="14">
        <f>J21/(1+($T$3-F21+G21)/36500)^E21</f>
        <v>100229.08429196739</v>
      </c>
      <c r="D21" s="16" t="s">
        <v>1010</v>
      </c>
      <c r="E21" s="16">
        <f>701-$U$8</f>
        <v>696</v>
      </c>
      <c r="F21" s="16">
        <v>21</v>
      </c>
      <c r="G21" s="11">
        <f>$Z$1</f>
        <v>0.88</v>
      </c>
      <c r="H21" s="16">
        <v>3</v>
      </c>
      <c r="I21" s="16">
        <f>E21/30.5</f>
        <v>22.819672131147541</v>
      </c>
      <c r="J21" s="14">
        <v>100000</v>
      </c>
      <c r="K21" s="14">
        <v>99500</v>
      </c>
      <c r="L21" s="14">
        <f>B21*(1+$T$2/36500)^E21</f>
        <v>146746.86830236125</v>
      </c>
      <c r="N21">
        <v>98</v>
      </c>
      <c r="O21">
        <v>8</v>
      </c>
      <c r="P21">
        <f t="shared" si="3"/>
        <v>1185</v>
      </c>
      <c r="Q21" s="3">
        <f t="shared" si="2"/>
        <v>122132.93563006021</v>
      </c>
      <c r="R21" s="3">
        <f t="shared" si="0"/>
        <v>28179.304709348951</v>
      </c>
      <c r="V21" s="25"/>
      <c r="W21" s="26"/>
    </row>
    <row r="22" spans="1:23" x14ac:dyDescent="0.25">
      <c r="A22" s="11" t="s">
        <v>989</v>
      </c>
      <c r="B22" s="43">
        <f>J22/(1+($T$2-F22+G22)/36500)^E22</f>
        <v>91871.970067520306</v>
      </c>
      <c r="C22" s="43">
        <f>J22/(1+($T$3-F22+G22)/36500)^E22</f>
        <v>94455.11662138431</v>
      </c>
      <c r="D22" s="11" t="s">
        <v>1039</v>
      </c>
      <c r="E22" s="20">
        <f>728-$U$8</f>
        <v>723</v>
      </c>
      <c r="F22" s="11">
        <v>18</v>
      </c>
      <c r="G22" s="11">
        <f>$Z$1</f>
        <v>0.88</v>
      </c>
      <c r="H22" s="11">
        <v>3</v>
      </c>
      <c r="I22" s="20">
        <f>E22/30.5</f>
        <v>23.704918032786885</v>
      </c>
      <c r="J22" s="3">
        <v>100000</v>
      </c>
      <c r="K22" s="3">
        <v>93000</v>
      </c>
      <c r="L22" s="3">
        <f>B22*(1+$T$2/36500)^E22</f>
        <v>140353.97882657754</v>
      </c>
      <c r="N22">
        <v>98</v>
      </c>
      <c r="O22" s="9">
        <v>9</v>
      </c>
      <c r="P22">
        <f t="shared" si="3"/>
        <v>1185</v>
      </c>
      <c r="Q22" s="3">
        <f t="shared" si="2"/>
        <v>124330.0562533218</v>
      </c>
      <c r="R22" s="3">
        <f t="shared" si="0"/>
        <v>29866.835643332342</v>
      </c>
      <c r="V22" s="25"/>
      <c r="W22" s="26"/>
    </row>
    <row r="23" spans="1:23" x14ac:dyDescent="0.25">
      <c r="A23" s="16" t="s">
        <v>990</v>
      </c>
      <c r="B23" s="14">
        <f>J23/(1+($T$2-F23+G23)/36500)^E23</f>
        <v>89174.181217783931</v>
      </c>
      <c r="C23" s="14">
        <f>J23/(1+($T$3-F23+G23)/36500)^E23</f>
        <v>91481.141779484082</v>
      </c>
      <c r="D23" s="16" t="s">
        <v>1011</v>
      </c>
      <c r="E23" s="16">
        <f>671-$U$8</f>
        <v>666</v>
      </c>
      <c r="F23" s="16">
        <v>16</v>
      </c>
      <c r="G23" s="11">
        <f>$Z$1</f>
        <v>0.88</v>
      </c>
      <c r="H23" s="16">
        <v>3</v>
      </c>
      <c r="I23" s="16">
        <f>E23/30.5</f>
        <v>21.83606557377049</v>
      </c>
      <c r="J23" s="14">
        <v>100000</v>
      </c>
      <c r="K23" s="14">
        <v>90000</v>
      </c>
      <c r="L23" s="14">
        <f>B23*(1+$T$2/36500)^E23</f>
        <v>131756.27811225932</v>
      </c>
      <c r="N23">
        <v>98</v>
      </c>
      <c r="O23">
        <v>10</v>
      </c>
      <c r="P23">
        <f t="shared" si="3"/>
        <v>1185</v>
      </c>
      <c r="Q23" s="3">
        <f t="shared" si="2"/>
        <v>126566.70216112894</v>
      </c>
      <c r="R23" s="3">
        <f t="shared" si="0"/>
        <v>31584.460878971771</v>
      </c>
      <c r="V23" s="25"/>
      <c r="W23" s="26"/>
    </row>
    <row r="24" spans="1:23" x14ac:dyDescent="0.25">
      <c r="A24" s="11" t="s">
        <v>991</v>
      </c>
      <c r="B24" s="88">
        <f>J24/(1+($T$2-F24+G24)/36500)^E24</f>
        <v>82468.059617331397</v>
      </c>
      <c r="C24" s="88">
        <f>J24/(1+($T$3-F24+G24)/36500)^E24</f>
        <v>85626.381534845161</v>
      </c>
      <c r="D24" s="11" t="s">
        <v>1012</v>
      </c>
      <c r="E24" s="20">
        <f>985-$U$8</f>
        <v>980</v>
      </c>
      <c r="F24" s="11">
        <v>15</v>
      </c>
      <c r="G24" s="11">
        <f>$Z$2</f>
        <v>0.78</v>
      </c>
      <c r="H24" s="11">
        <v>6</v>
      </c>
      <c r="I24" s="20">
        <f>E24/30.5</f>
        <v>32.131147540983605</v>
      </c>
      <c r="J24" s="3">
        <v>100000</v>
      </c>
      <c r="K24" s="3">
        <v>85500</v>
      </c>
      <c r="L24" s="3">
        <f>B24*(1+$T$2/36500)^E24</f>
        <v>146469.61976596602</v>
      </c>
      <c r="N24">
        <v>98</v>
      </c>
      <c r="O24">
        <v>11</v>
      </c>
      <c r="P24">
        <f t="shared" si="3"/>
        <v>1185</v>
      </c>
      <c r="Q24" s="3">
        <f t="shared" si="2"/>
        <v>128843.58439688174</v>
      </c>
      <c r="R24" s="3">
        <f t="shared" si="0"/>
        <v>33332.717097980101</v>
      </c>
      <c r="V24" s="25"/>
      <c r="W24" s="26"/>
    </row>
    <row r="25" spans="1:23" x14ac:dyDescent="0.25">
      <c r="A25" s="16" t="s">
        <v>965</v>
      </c>
      <c r="B25" s="88">
        <f>J25/(1+($T$2-F25+G25)/36500)^E25</f>
        <v>81071.850335360316</v>
      </c>
      <c r="C25" s="88">
        <f>J25/(1+($T$3-F25+G25)/36500)^E25</f>
        <v>82192.127623228167</v>
      </c>
      <c r="D25" s="16" t="s">
        <v>1013</v>
      </c>
      <c r="E25" s="16">
        <f>363-$U$8</f>
        <v>358</v>
      </c>
      <c r="F25" s="16">
        <v>0</v>
      </c>
      <c r="G25" s="16">
        <v>0</v>
      </c>
      <c r="H25" s="16">
        <v>0</v>
      </c>
      <c r="I25" s="16">
        <f>E25/30.5</f>
        <v>11.737704918032787</v>
      </c>
      <c r="J25" s="14">
        <v>100000</v>
      </c>
      <c r="K25" s="14">
        <v>82000</v>
      </c>
      <c r="L25" s="14">
        <f>B25*(1+$T$2/36500)^E25</f>
        <v>100000</v>
      </c>
      <c r="N25">
        <v>98</v>
      </c>
      <c r="O25">
        <v>12</v>
      </c>
      <c r="P25">
        <f t="shared" si="3"/>
        <v>1185</v>
      </c>
      <c r="Q25" s="3">
        <f t="shared" si="2"/>
        <v>131161.42679535478</v>
      </c>
      <c r="R25" s="3">
        <f t="shared" si="0"/>
        <v>35112.150552894083</v>
      </c>
      <c r="V25" s="25"/>
      <c r="W25" s="26"/>
    </row>
    <row r="26" spans="1:23" x14ac:dyDescent="0.25">
      <c r="A26" s="16" t="s">
        <v>1000</v>
      </c>
      <c r="B26" s="14">
        <f>J26/(1+($T$2-F26+G26)/36500)^E26</f>
        <v>92723.228424007873</v>
      </c>
      <c r="C26" s="14">
        <f>J26/(1+($T$3-F26+G26)/36500)^E26</f>
        <v>97332.952226969035</v>
      </c>
      <c r="D26" s="16" t="s">
        <v>1004</v>
      </c>
      <c r="E26" s="16">
        <f>1270-$U$8</f>
        <v>1265</v>
      </c>
      <c r="F26" s="16">
        <v>20</v>
      </c>
      <c r="G26" s="16">
        <f>$Z$2</f>
        <v>0.78</v>
      </c>
      <c r="H26" s="16">
        <v>6</v>
      </c>
      <c r="I26" s="16">
        <f>E26/30.5</f>
        <v>41.475409836065573</v>
      </c>
      <c r="J26" s="14">
        <v>100000</v>
      </c>
      <c r="K26" s="14">
        <v>100000</v>
      </c>
      <c r="L26" s="14">
        <f>B26*(1+$T$2/36500)^E26</f>
        <v>194624.66597161093</v>
      </c>
      <c r="N26">
        <v>99</v>
      </c>
      <c r="O26">
        <v>1</v>
      </c>
      <c r="P26">
        <f t="shared" si="3"/>
        <v>1185</v>
      </c>
      <c r="Q26" s="3">
        <f t="shared" si="2"/>
        <v>133520.96621280871</v>
      </c>
      <c r="R26" s="3">
        <f t="shared" si="0"/>
        <v>36923.317237754032</v>
      </c>
      <c r="V26" s="25"/>
      <c r="W26" s="26"/>
    </row>
    <row r="27" spans="1:23" x14ac:dyDescent="0.25">
      <c r="A27" s="20" t="s">
        <v>1005</v>
      </c>
      <c r="B27" s="43">
        <f>J27/(1+($T$2-F27+G27)/36500)^E27</f>
        <v>99732.633063258996</v>
      </c>
      <c r="C27" s="43">
        <f>J27/(1+($T$3-F27+G27)/36500)^E27</f>
        <v>101076.67541929842</v>
      </c>
      <c r="D27" s="20" t="s">
        <v>1006</v>
      </c>
      <c r="E27" s="20">
        <f>354-$U$8</f>
        <v>349</v>
      </c>
      <c r="F27" s="20">
        <v>22</v>
      </c>
      <c r="G27" s="20">
        <f>Z1</f>
        <v>0.88</v>
      </c>
      <c r="H27" s="20">
        <v>3</v>
      </c>
      <c r="I27" s="20">
        <f>E27/30.5</f>
        <v>11.442622950819672</v>
      </c>
      <c r="J27" s="43">
        <v>100000</v>
      </c>
      <c r="K27" s="43">
        <v>103000</v>
      </c>
      <c r="L27" s="3">
        <f>B27*(1+$T$2/36500)^E27</f>
        <v>122370.35625030873</v>
      </c>
      <c r="N27">
        <v>99</v>
      </c>
      <c r="O27">
        <v>2</v>
      </c>
      <c r="P27">
        <f t="shared" si="3"/>
        <v>1185</v>
      </c>
      <c r="Q27" s="3">
        <f t="shared" si="2"/>
        <v>135922.95276124121</v>
      </c>
      <c r="R27" s="3">
        <f t="shared" si="0"/>
        <v>38766.783061827315</v>
      </c>
      <c r="V27" s="25"/>
      <c r="W27" s="26"/>
    </row>
    <row r="28" spans="1:23" x14ac:dyDescent="0.25">
      <c r="A28" s="16" t="s">
        <v>1031</v>
      </c>
      <c r="B28" s="14">
        <f>J28/(1+($T$2-F28+G28)/36500)^E28</f>
        <v>99159.71926793232</v>
      </c>
      <c r="C28" s="14">
        <f>J28/(1+($T$3-F28+G28)/36500)^E28</f>
        <v>102132.02768863362</v>
      </c>
      <c r="D28" s="16" t="s">
        <v>1032</v>
      </c>
      <c r="E28" s="16">
        <f>775-$U$8</f>
        <v>770</v>
      </c>
      <c r="F28" s="16">
        <v>21</v>
      </c>
      <c r="G28" s="16">
        <v>0</v>
      </c>
      <c r="H28" s="16">
        <v>1</v>
      </c>
      <c r="I28" s="16">
        <f>E28/30.5</f>
        <v>25.245901639344261</v>
      </c>
      <c r="J28" s="14">
        <v>100000</v>
      </c>
      <c r="K28" s="14">
        <v>104000</v>
      </c>
      <c r="L28" s="14">
        <f>B28*(1+$T$2/36500)^E28</f>
        <v>155718.77236135365</v>
      </c>
      <c r="N28">
        <v>99</v>
      </c>
      <c r="O28">
        <v>3</v>
      </c>
      <c r="P28">
        <f t="shared" si="3"/>
        <v>1185</v>
      </c>
      <c r="Q28" s="3">
        <f t="shared" si="2"/>
        <v>138368.15004685227</v>
      </c>
      <c r="R28" s="3">
        <f t="shared" si="0"/>
        <v>40643.124026429905</v>
      </c>
      <c r="V28" s="25"/>
      <c r="W28" s="26"/>
    </row>
    <row r="29" spans="1:23" x14ac:dyDescent="0.25">
      <c r="A29" s="20" t="s">
        <v>1088</v>
      </c>
      <c r="B29" s="43">
        <f>J29/(1+($T$2-F29+G29)/36500)^E29</f>
        <v>82847.413497688525</v>
      </c>
      <c r="C29" s="43">
        <f>J29/(1+($T$3-F29+G29)/36500)^E29</f>
        <v>87169.505000634599</v>
      </c>
      <c r="D29" s="20" t="s">
        <v>1089</v>
      </c>
      <c r="E29" s="20">
        <f>1331-$U$8</f>
        <v>1326</v>
      </c>
      <c r="F29" s="20">
        <v>17</v>
      </c>
      <c r="G29" s="20">
        <f>Z2</f>
        <v>0.78</v>
      </c>
      <c r="H29" s="20">
        <v>6</v>
      </c>
      <c r="I29" s="20">
        <f>E29/30.5</f>
        <v>43.475409836065573</v>
      </c>
      <c r="J29" s="43">
        <v>100000</v>
      </c>
      <c r="K29" s="43"/>
      <c r="L29" s="3">
        <f>B29*(1+$T$2/36500)^E29</f>
        <v>180225.40617226105</v>
      </c>
      <c r="N29">
        <v>99</v>
      </c>
      <c r="O29">
        <v>4</v>
      </c>
      <c r="P29">
        <f t="shared" si="3"/>
        <v>1185</v>
      </c>
      <c r="Q29" s="3">
        <f t="shared" si="2"/>
        <v>140857.33541279926</v>
      </c>
      <c r="R29" s="3">
        <f t="shared" si="0"/>
        <v>42552.926404901242</v>
      </c>
      <c r="V29" s="25"/>
      <c r="W29" s="26"/>
    </row>
    <row r="30" spans="1:2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89"/>
      <c r="N30">
        <v>99</v>
      </c>
      <c r="O30">
        <v>5</v>
      </c>
      <c r="P30">
        <f t="shared" si="3"/>
        <v>1185</v>
      </c>
      <c r="Q30" s="3">
        <f t="shared" si="2"/>
        <v>143391.30018631907</v>
      </c>
      <c r="R30" s="3">
        <f t="shared" si="0"/>
        <v>44496.786925788649</v>
      </c>
      <c r="U30" s="25"/>
      <c r="V30" s="26"/>
    </row>
    <row r="31" spans="1:2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89"/>
      <c r="N31">
        <v>99</v>
      </c>
      <c r="O31">
        <v>6</v>
      </c>
      <c r="P31">
        <f t="shared" si="3"/>
        <v>1185</v>
      </c>
      <c r="Q31" s="3">
        <f t="shared" si="2"/>
        <v>145970.84993029587</v>
      </c>
      <c r="R31" s="3">
        <f t="shared" si="0"/>
        <v>46475.31295929855</v>
      </c>
      <c r="U31" s="25"/>
      <c r="V31" s="26"/>
    </row>
    <row r="32" spans="1:2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89"/>
      <c r="N32">
        <v>99</v>
      </c>
      <c r="O32">
        <v>7</v>
      </c>
      <c r="P32">
        <f t="shared" si="3"/>
        <v>1185</v>
      </c>
      <c r="Q32" s="3">
        <f t="shared" si="2"/>
        <v>148596.8046993544</v>
      </c>
      <c r="R32" s="3">
        <f t="shared" si="0"/>
        <v>48489.122707072711</v>
      </c>
      <c r="U32" s="25"/>
      <c r="V32" s="26"/>
    </row>
    <row r="33" spans="1:22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89"/>
      <c r="N33">
        <v>99</v>
      </c>
      <c r="O33">
        <v>8</v>
      </c>
      <c r="P33">
        <f t="shared" si="3"/>
        <v>1185</v>
      </c>
      <c r="Q33" s="3">
        <f t="shared" si="2"/>
        <v>151269.99930056048</v>
      </c>
      <c r="R33" s="3">
        <f t="shared" si="0"/>
        <v>50538.845395348842</v>
      </c>
      <c r="U33" s="25"/>
      <c r="V33" s="26"/>
    </row>
    <row r="34" spans="1:22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N34">
        <v>99</v>
      </c>
      <c r="O34" s="9">
        <v>9</v>
      </c>
      <c r="P34">
        <f t="shared" si="3"/>
        <v>1185</v>
      </c>
      <c r="Q34" s="3">
        <f>Q33*(1+($T$2+0.1875)/1200)</f>
        <v>153991.28355881118</v>
      </c>
      <c r="R34" s="3">
        <f t="shared" si="0"/>
        <v>52625.121471565901</v>
      </c>
      <c r="U34" s="25"/>
      <c r="V34" s="26"/>
    </row>
    <row r="35" spans="1:22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N35">
        <v>99</v>
      </c>
      <c r="O35">
        <v>10</v>
      </c>
      <c r="P35">
        <f t="shared" si="3"/>
        <v>1185</v>
      </c>
      <c r="Q35" s="3">
        <f t="shared" si="2"/>
        <v>156761.52258699934</v>
      </c>
      <c r="R35" s="3">
        <f t="shared" si="0"/>
        <v>54748.602804475493</v>
      </c>
      <c r="U35" s="25"/>
      <c r="V35" s="26"/>
    </row>
    <row r="36" spans="1:22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N36">
        <v>99</v>
      </c>
      <c r="O36">
        <v>11</v>
      </c>
      <c r="P36">
        <f t="shared" si="3"/>
        <v>1185</v>
      </c>
      <c r="Q36" s="3">
        <f t="shared" si="2"/>
        <v>159581.59706103837</v>
      </c>
      <c r="R36" s="3">
        <f t="shared" si="0"/>
        <v>56909.952887821972</v>
      </c>
      <c r="U36" s="25"/>
      <c r="V36" s="26"/>
    </row>
    <row r="37" spans="1:22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N37">
        <v>99</v>
      </c>
      <c r="O37">
        <v>12</v>
      </c>
      <c r="P37">
        <f t="shared" si="3"/>
        <v>1185</v>
      </c>
      <c r="Q37" s="3">
        <f t="shared" si="2"/>
        <v>162452.40349983433</v>
      </c>
      <c r="R37" s="3">
        <f t="shared" si="0"/>
        <v>59109.847047654795</v>
      </c>
      <c r="U37" s="25"/>
      <c r="V37" s="26"/>
    </row>
    <row r="38" spans="1:22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N38">
        <v>100</v>
      </c>
      <c r="O38">
        <v>1</v>
      </c>
      <c r="P38">
        <f t="shared" si="3"/>
        <v>1185</v>
      </c>
      <c r="Q38" s="3">
        <f t="shared" si="2"/>
        <v>165374.85455029487</v>
      </c>
      <c r="R38" s="3">
        <f t="shared" si="0"/>
        <v>61348.972653337973</v>
      </c>
      <c r="U38" s="25"/>
      <c r="V38" s="26"/>
    </row>
    <row r="39" spans="1:22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N39">
        <v>100</v>
      </c>
      <c r="O39">
        <v>2</v>
      </c>
      <c r="P39">
        <f t="shared" si="3"/>
        <v>1185</v>
      </c>
      <c r="Q39" s="3">
        <f t="shared" si="2"/>
        <v>168349.87927746525</v>
      </c>
      <c r="R39" s="3">
        <f t="shared" si="0"/>
        <v>63628.029332322505</v>
      </c>
      <c r="U39" s="25"/>
      <c r="V39" s="26"/>
    </row>
    <row r="40" spans="1:22" x14ac:dyDescent="0.25">
      <c r="N40">
        <v>100</v>
      </c>
      <c r="O40">
        <v>3</v>
      </c>
      <c r="P40">
        <f t="shared" si="3"/>
        <v>1185</v>
      </c>
      <c r="Q40" s="3">
        <f t="shared" si="2"/>
        <v>171378.42345988381</v>
      </c>
      <c r="R40" s="3">
        <f t="shared" si="0"/>
        <v>65947.729188748926</v>
      </c>
      <c r="U40" s="25"/>
      <c r="V40" s="26"/>
    </row>
    <row r="41" spans="1:22" x14ac:dyDescent="0.25">
      <c r="N41">
        <v>100</v>
      </c>
      <c r="O41">
        <v>4</v>
      </c>
      <c r="P41">
        <f t="shared" si="3"/>
        <v>1185</v>
      </c>
      <c r="Q41" s="3">
        <f t="shared" si="2"/>
        <v>174461.44989025066</v>
      </c>
      <c r="R41" s="3">
        <f t="shared" si="0"/>
        <v>68308.797025948283</v>
      </c>
      <c r="U41" s="25"/>
      <c r="V41" s="26"/>
    </row>
    <row r="42" spans="1:22" x14ac:dyDescent="0.25">
      <c r="N42">
        <v>100</v>
      </c>
      <c r="O42">
        <v>5</v>
      </c>
      <c r="P42">
        <f t="shared" si="3"/>
        <v>1185</v>
      </c>
      <c r="Q42" s="3">
        <f t="shared" si="2"/>
        <v>177599.93868150547</v>
      </c>
      <c r="R42" s="3">
        <f t="shared" si="0"/>
        <v>70711.970572911028</v>
      </c>
      <c r="U42" s="25"/>
      <c r="V42" s="26"/>
    </row>
    <row r="43" spans="1:22" x14ac:dyDescent="0.25">
      <c r="N43">
        <v>100</v>
      </c>
      <c r="O43" s="9">
        <v>6</v>
      </c>
      <c r="P43">
        <f t="shared" si="3"/>
        <v>1185</v>
      </c>
      <c r="Q43" s="3">
        <f t="shared" si="2"/>
        <v>180794.88757841129</v>
      </c>
      <c r="R43" s="3">
        <f t="shared" si="0"/>
        <v>73158.000714794616</v>
      </c>
      <c r="U43" s="25"/>
      <c r="V43" s="26"/>
    </row>
    <row r="44" spans="1:22" x14ac:dyDescent="0.25">
      <c r="N44">
        <v>100</v>
      </c>
      <c r="O44">
        <v>7</v>
      </c>
      <c r="P44">
        <f t="shared" si="3"/>
        <v>1185</v>
      </c>
      <c r="Q44" s="3">
        <f t="shared" si="2"/>
        <v>184047.31227474374</v>
      </c>
      <c r="R44" s="3">
        <f t="shared" si="0"/>
        <v>75647.651727541786</v>
      </c>
      <c r="U44" s="25"/>
      <c r="V44" s="26"/>
    </row>
    <row r="45" spans="1:22" x14ac:dyDescent="0.25">
      <c r="N45">
        <v>100</v>
      </c>
      <c r="O45">
        <v>8</v>
      </c>
      <c r="P45">
        <f t="shared" si="3"/>
        <v>1185</v>
      </c>
      <c r="Q45" s="3">
        <f t="shared" si="2"/>
        <v>187358.24673618624</v>
      </c>
      <c r="R45" s="3">
        <f t="shared" si="0"/>
        <v>78181.701516682951</v>
      </c>
      <c r="U45" s="25"/>
      <c r="V45" s="26"/>
    </row>
    <row r="46" spans="1:22" x14ac:dyDescent="0.25">
      <c r="N46">
        <v>100</v>
      </c>
      <c r="O46">
        <v>9</v>
      </c>
      <c r="P46">
        <f t="shared" si="3"/>
        <v>1185</v>
      </c>
      <c r="Q46" s="3">
        <f t="shared" si="2"/>
        <v>190728.74352903408</v>
      </c>
      <c r="R46" s="3">
        <f t="shared" si="0"/>
        <v>80760.941860397128</v>
      </c>
      <c r="U46" s="25"/>
      <c r="V46" s="26"/>
    </row>
    <row r="47" spans="1:22" x14ac:dyDescent="0.25">
      <c r="N47">
        <v>100</v>
      </c>
      <c r="O47">
        <v>10</v>
      </c>
      <c r="P47">
        <f t="shared" si="3"/>
        <v>1185</v>
      </c>
      <c r="Q47" s="3">
        <f t="shared" si="2"/>
        <v>194159.87415481158</v>
      </c>
      <c r="R47" s="3">
        <f t="shared" si="0"/>
        <v>83386.178656907548</v>
      </c>
      <c r="U47" s="25"/>
      <c r="V47" s="26"/>
    </row>
    <row r="48" spans="1:22" x14ac:dyDescent="0.25">
      <c r="N48">
        <v>100</v>
      </c>
      <c r="O48">
        <v>11</v>
      </c>
      <c r="P48">
        <f t="shared" si="3"/>
        <v>1185</v>
      </c>
      <c r="Q48" s="3">
        <f t="shared" si="2"/>
        <v>197652.72939090905</v>
      </c>
      <c r="R48" s="3">
        <f t="shared" si="0"/>
        <v>86058.232176289064</v>
      </c>
      <c r="U48" s="25"/>
      <c r="V48" s="26"/>
    </row>
    <row r="49" spans="1:22" x14ac:dyDescent="0.25">
      <c r="N49">
        <v>100</v>
      </c>
      <c r="O49">
        <v>12</v>
      </c>
      <c r="P49">
        <f t="shared" si="3"/>
        <v>1185</v>
      </c>
      <c r="Q49" s="3">
        <f t="shared" si="2"/>
        <v>201208.41963734757</v>
      </c>
      <c r="R49" s="3">
        <f t="shared" si="0"/>
        <v>88777.937316766227</v>
      </c>
      <c r="U49" s="25"/>
      <c r="V49" s="26"/>
    </row>
    <row r="50" spans="1:22" x14ac:dyDescent="0.25">
      <c r="U50" s="25"/>
      <c r="V50" s="26"/>
    </row>
    <row r="51" spans="1:22" x14ac:dyDescent="0.25">
      <c r="U51" s="25"/>
      <c r="V51" s="26"/>
    </row>
    <row r="52" spans="1:22" x14ac:dyDescent="0.25">
      <c r="U52" s="25"/>
      <c r="V52" s="26"/>
    </row>
    <row r="53" spans="1:22" x14ac:dyDescent="0.25">
      <c r="U53" s="25"/>
      <c r="V53" s="26"/>
    </row>
    <row r="54" spans="1:22" x14ac:dyDescent="0.25">
      <c r="U54" s="25"/>
      <c r="V54" s="26"/>
    </row>
    <row r="55" spans="1:22" x14ac:dyDescent="0.25">
      <c r="U55" s="25"/>
      <c r="V55" s="26"/>
    </row>
    <row r="56" spans="1:22" x14ac:dyDescent="0.25">
      <c r="U56" s="25"/>
      <c r="V56" s="26"/>
    </row>
    <row r="57" spans="1:22" x14ac:dyDescent="0.25">
      <c r="U57" s="25"/>
      <c r="V57" s="26"/>
    </row>
    <row r="58" spans="1:22" x14ac:dyDescent="0.25">
      <c r="U58" s="25"/>
      <c r="V58" s="26"/>
    </row>
    <row r="59" spans="1:22" x14ac:dyDescent="0.25">
      <c r="U59" s="25"/>
      <c r="V59" s="26"/>
    </row>
    <row r="60" spans="1:22" x14ac:dyDescent="0.25">
      <c r="U60" s="25"/>
      <c r="V60" s="26"/>
    </row>
    <row r="61" spans="1:22" x14ac:dyDescent="0.25">
      <c r="U61" s="25"/>
      <c r="V61" s="26"/>
    </row>
    <row r="62" spans="1:22" x14ac:dyDescent="0.25">
      <c r="A62" s="25"/>
      <c r="B62" s="25"/>
      <c r="C62" s="25"/>
      <c r="D62" s="25"/>
      <c r="E62" s="25"/>
      <c r="F62" s="25"/>
      <c r="G62" s="25"/>
      <c r="H62" s="25"/>
      <c r="I62" s="26"/>
      <c r="J62" s="26"/>
      <c r="K62" s="26"/>
      <c r="U62" s="25"/>
      <c r="V62" s="26"/>
    </row>
    <row r="63" spans="1:22" x14ac:dyDescent="0.25">
      <c r="U63" s="25"/>
      <c r="V63" s="26"/>
    </row>
    <row r="64" spans="1:22" x14ac:dyDescent="0.25">
      <c r="U64" s="25"/>
      <c r="V64" s="26"/>
    </row>
    <row r="65" spans="10:22" x14ac:dyDescent="0.25">
      <c r="J65" t="s">
        <v>25</v>
      </c>
      <c r="U65" s="25"/>
      <c r="V65" s="26"/>
    </row>
    <row r="66" spans="10:22" x14ac:dyDescent="0.25">
      <c r="K66" t="s">
        <v>25</v>
      </c>
      <c r="U66" s="25"/>
      <c r="V66" s="26"/>
    </row>
    <row r="67" spans="10:22" x14ac:dyDescent="0.25">
      <c r="U67" s="25"/>
      <c r="V67" s="26"/>
    </row>
    <row r="68" spans="10:22" x14ac:dyDescent="0.25">
      <c r="U68" s="25"/>
      <c r="V68" s="26"/>
    </row>
    <row r="69" spans="10:22" x14ac:dyDescent="0.25">
      <c r="U69" s="25"/>
      <c r="V69" s="26"/>
    </row>
    <row r="70" spans="10:22" x14ac:dyDescent="0.25">
      <c r="U70" s="25"/>
      <c r="V70" s="26"/>
    </row>
    <row r="71" spans="10:22" x14ac:dyDescent="0.25">
      <c r="U71" s="25"/>
      <c r="V71" s="26"/>
    </row>
    <row r="72" spans="10:22" x14ac:dyDescent="0.25">
      <c r="U72" s="25"/>
      <c r="V72" s="26"/>
    </row>
    <row r="73" spans="10:22" x14ac:dyDescent="0.25">
      <c r="U73" s="25"/>
      <c r="V73" s="26"/>
    </row>
    <row r="74" spans="10:22" x14ac:dyDescent="0.25">
      <c r="U74" s="25"/>
      <c r="V74" s="26"/>
    </row>
    <row r="75" spans="10:22" x14ac:dyDescent="0.25">
      <c r="U75" s="25"/>
      <c r="V75" s="26"/>
    </row>
    <row r="76" spans="10:22" x14ac:dyDescent="0.25">
      <c r="U76" s="25"/>
      <c r="V76" s="26"/>
    </row>
    <row r="77" spans="10:22" x14ac:dyDescent="0.25">
      <c r="U77" s="25"/>
      <c r="V77" s="26"/>
    </row>
    <row r="78" spans="10:22" x14ac:dyDescent="0.25">
      <c r="U78" s="25"/>
      <c r="V78" s="26"/>
    </row>
    <row r="79" spans="10:22" x14ac:dyDescent="0.25">
      <c r="U79" s="25"/>
      <c r="V79" s="26"/>
    </row>
    <row r="80" spans="10:22" x14ac:dyDescent="0.25">
      <c r="U80" s="25"/>
      <c r="V80" s="26"/>
    </row>
    <row r="81" spans="21:22" x14ac:dyDescent="0.25">
      <c r="U81" s="25"/>
      <c r="V81" s="26"/>
    </row>
    <row r="82" spans="21:22" x14ac:dyDescent="0.25">
      <c r="U82" s="25"/>
      <c r="V82" s="26"/>
    </row>
    <row r="83" spans="21:22" x14ac:dyDescent="0.25">
      <c r="U83" s="25"/>
      <c r="V83" s="26"/>
    </row>
    <row r="84" spans="21:22" x14ac:dyDescent="0.25">
      <c r="U84" s="25"/>
      <c r="V84" s="26"/>
    </row>
    <row r="85" spans="21:22" x14ac:dyDescent="0.25">
      <c r="U85" s="25"/>
      <c r="V85" s="26"/>
    </row>
    <row r="86" spans="21:22" x14ac:dyDescent="0.25">
      <c r="U86" s="25"/>
      <c r="V86" s="26"/>
    </row>
    <row r="87" spans="21:22" x14ac:dyDescent="0.25">
      <c r="U87" s="25"/>
      <c r="V87" s="26"/>
    </row>
    <row r="88" spans="21:22" x14ac:dyDescent="0.25">
      <c r="U88" s="25"/>
      <c r="V88" s="26"/>
    </row>
    <row r="89" spans="21:22" x14ac:dyDescent="0.25">
      <c r="U89" s="25"/>
      <c r="V89" s="26"/>
    </row>
    <row r="90" spans="21:22" x14ac:dyDescent="0.25">
      <c r="U90" s="25"/>
      <c r="V90" s="26"/>
    </row>
    <row r="91" spans="21:22" x14ac:dyDescent="0.25">
      <c r="U91" s="25"/>
      <c r="V91" s="26"/>
    </row>
    <row r="92" spans="21:22" x14ac:dyDescent="0.25">
      <c r="U92" s="25"/>
      <c r="V92" s="26"/>
    </row>
    <row r="93" spans="21:22" x14ac:dyDescent="0.25">
      <c r="U93" s="25"/>
      <c r="V93" s="26"/>
    </row>
    <row r="94" spans="21:22" x14ac:dyDescent="0.25">
      <c r="U94" s="25"/>
      <c r="V94" s="26"/>
    </row>
    <row r="95" spans="21:22" x14ac:dyDescent="0.25">
      <c r="U95" s="25"/>
      <c r="V95" s="26"/>
    </row>
    <row r="96" spans="21:22" x14ac:dyDescent="0.25">
      <c r="U96" s="25"/>
      <c r="V96" s="26"/>
    </row>
    <row r="97" spans="21:22" x14ac:dyDescent="0.25">
      <c r="U97" s="25"/>
      <c r="V97" s="26"/>
    </row>
    <row r="98" spans="21:22" x14ac:dyDescent="0.25">
      <c r="U98" s="25"/>
      <c r="V98" s="26"/>
    </row>
    <row r="99" spans="21:22" x14ac:dyDescent="0.25">
      <c r="U99" s="25"/>
      <c r="V99" s="26"/>
    </row>
    <row r="100" spans="21:22" x14ac:dyDescent="0.25">
      <c r="U100" s="25"/>
      <c r="V100" s="26"/>
    </row>
    <row r="101" spans="21:22" x14ac:dyDescent="0.25">
      <c r="U101" s="25"/>
      <c r="V101" s="26"/>
    </row>
    <row r="102" spans="21:22" x14ac:dyDescent="0.25">
      <c r="U102" s="25"/>
      <c r="V102" s="26"/>
    </row>
    <row r="103" spans="21:22" x14ac:dyDescent="0.25">
      <c r="U103" s="25"/>
      <c r="V103" s="26"/>
    </row>
    <row r="104" spans="21:22" x14ac:dyDescent="0.25">
      <c r="U104" s="25"/>
      <c r="V104" s="26"/>
    </row>
    <row r="105" spans="21:22" x14ac:dyDescent="0.25">
      <c r="U105" s="25"/>
      <c r="V105" s="26"/>
    </row>
    <row r="106" spans="21:22" x14ac:dyDescent="0.25">
      <c r="U106" s="25"/>
      <c r="V106" s="26"/>
    </row>
    <row r="107" spans="21:22" x14ac:dyDescent="0.25">
      <c r="U107" s="25"/>
      <c r="V107" s="26"/>
    </row>
    <row r="108" spans="21:22" x14ac:dyDescent="0.25">
      <c r="U108" s="25"/>
      <c r="V108" s="26"/>
    </row>
    <row r="109" spans="21:22" x14ac:dyDescent="0.25">
      <c r="U109" s="25"/>
      <c r="V109" s="26"/>
    </row>
    <row r="110" spans="21:22" x14ac:dyDescent="0.25">
      <c r="U110" s="25"/>
      <c r="V110" s="26"/>
    </row>
    <row r="111" spans="21:22" x14ac:dyDescent="0.25">
      <c r="U111" s="25"/>
      <c r="V111" s="26"/>
    </row>
    <row r="112" spans="21:22" x14ac:dyDescent="0.25">
      <c r="U112" s="25"/>
      <c r="V112" s="26"/>
    </row>
    <row r="113" spans="21:22" x14ac:dyDescent="0.25">
      <c r="U113" s="25"/>
      <c r="V113" s="26"/>
    </row>
    <row r="114" spans="21:22" x14ac:dyDescent="0.25">
      <c r="U114" s="25"/>
      <c r="V114" s="26"/>
    </row>
    <row r="115" spans="21:22" x14ac:dyDescent="0.25">
      <c r="U115" s="25"/>
      <c r="V115" s="26"/>
    </row>
    <row r="116" spans="21:22" x14ac:dyDescent="0.25">
      <c r="U116" s="25"/>
      <c r="V116" s="26"/>
    </row>
    <row r="117" spans="21:22" x14ac:dyDescent="0.25">
      <c r="U117" s="25"/>
      <c r="V117" s="26"/>
    </row>
    <row r="118" spans="21:22" x14ac:dyDescent="0.25">
      <c r="U118" s="25"/>
      <c r="V118" s="26"/>
    </row>
    <row r="119" spans="21:22" x14ac:dyDescent="0.25">
      <c r="U119" s="25"/>
      <c r="V119" s="26"/>
    </row>
    <row r="120" spans="21:22" x14ac:dyDescent="0.25">
      <c r="U120" s="25"/>
      <c r="V120" s="26"/>
    </row>
    <row r="121" spans="21:22" x14ac:dyDescent="0.25">
      <c r="U121" s="25"/>
      <c r="V121" s="26"/>
    </row>
    <row r="122" spans="21:22" x14ac:dyDescent="0.25">
      <c r="U122" s="25"/>
      <c r="V122" s="26"/>
    </row>
    <row r="123" spans="21:22" x14ac:dyDescent="0.25">
      <c r="U123" s="25"/>
      <c r="V123" s="26"/>
    </row>
    <row r="124" spans="21:22" x14ac:dyDescent="0.25">
      <c r="U124" s="25"/>
      <c r="V124" s="26"/>
    </row>
    <row r="125" spans="21:22" x14ac:dyDescent="0.25">
      <c r="U125" s="25"/>
      <c r="V125" s="26"/>
    </row>
    <row r="126" spans="21:22" x14ac:dyDescent="0.25">
      <c r="U126" s="25"/>
      <c r="V126" s="26"/>
    </row>
    <row r="127" spans="21:22" x14ac:dyDescent="0.25">
      <c r="U127" s="25"/>
      <c r="V127" s="26"/>
    </row>
    <row r="128" spans="21:22" x14ac:dyDescent="0.25">
      <c r="U128" s="25"/>
      <c r="V128" s="26"/>
    </row>
    <row r="129" spans="21:22" x14ac:dyDescent="0.25">
      <c r="U129" s="25"/>
      <c r="V129" s="26"/>
    </row>
    <row r="130" spans="21:22" x14ac:dyDescent="0.25">
      <c r="U130" s="25"/>
      <c r="V130" s="26"/>
    </row>
    <row r="131" spans="21:22" x14ac:dyDescent="0.25">
      <c r="U131" s="25"/>
      <c r="V131" s="26"/>
    </row>
    <row r="132" spans="21:22" x14ac:dyDescent="0.25">
      <c r="U132" s="25"/>
      <c r="V132" s="26"/>
    </row>
    <row r="133" spans="21:22" x14ac:dyDescent="0.25">
      <c r="U133" s="25"/>
      <c r="V133" s="26"/>
    </row>
    <row r="134" spans="21:22" x14ac:dyDescent="0.25">
      <c r="U134" s="25"/>
      <c r="V134" s="26"/>
    </row>
    <row r="135" spans="21:22" x14ac:dyDescent="0.25">
      <c r="U135" s="25"/>
      <c r="V135" s="26"/>
    </row>
    <row r="136" spans="21:22" x14ac:dyDescent="0.25">
      <c r="U136" s="25"/>
      <c r="V136" s="26"/>
    </row>
    <row r="137" spans="21:22" x14ac:dyDescent="0.25">
      <c r="U137" s="25"/>
      <c r="V137" s="26"/>
    </row>
    <row r="138" spans="21:22" x14ac:dyDescent="0.25">
      <c r="U138" s="25"/>
      <c r="V138" s="26"/>
    </row>
    <row r="139" spans="21:22" x14ac:dyDescent="0.25">
      <c r="U139" s="25"/>
      <c r="V139" s="26"/>
    </row>
    <row r="140" spans="21:22" x14ac:dyDescent="0.25">
      <c r="U140" s="25"/>
      <c r="V140" s="26"/>
    </row>
    <row r="141" spans="21:22" x14ac:dyDescent="0.25">
      <c r="U141" s="25"/>
      <c r="V141" s="26"/>
    </row>
    <row r="142" spans="21:22" x14ac:dyDescent="0.25">
      <c r="U142" s="25"/>
      <c r="V142" s="26"/>
    </row>
    <row r="143" spans="21:22" x14ac:dyDescent="0.25">
      <c r="U143" s="25"/>
      <c r="V143" s="26"/>
    </row>
    <row r="144" spans="21:22" x14ac:dyDescent="0.25">
      <c r="U144" s="25"/>
      <c r="V144" s="26"/>
    </row>
    <row r="145" spans="21:22" x14ac:dyDescent="0.25">
      <c r="U145" s="25"/>
      <c r="V145" s="26"/>
    </row>
    <row r="146" spans="21:22" x14ac:dyDescent="0.25">
      <c r="U146" s="25"/>
      <c r="V146" s="26"/>
    </row>
    <row r="147" spans="21:22" x14ac:dyDescent="0.25">
      <c r="U147" s="25"/>
      <c r="V147" s="26"/>
    </row>
    <row r="148" spans="21:22" x14ac:dyDescent="0.25">
      <c r="U148" s="25"/>
      <c r="V148" s="26"/>
    </row>
    <row r="149" spans="21:22" x14ac:dyDescent="0.25">
      <c r="U149" s="25"/>
      <c r="V149" s="26"/>
    </row>
    <row r="150" spans="21:22" x14ac:dyDescent="0.25">
      <c r="U150" s="25"/>
      <c r="V150" s="26"/>
    </row>
    <row r="151" spans="21:22" x14ac:dyDescent="0.25">
      <c r="U151" s="25"/>
      <c r="V151" s="26"/>
    </row>
    <row r="152" spans="21:22" x14ac:dyDescent="0.25">
      <c r="U152" s="25"/>
      <c r="V152" s="26"/>
    </row>
    <row r="153" spans="21:22" x14ac:dyDescent="0.25">
      <c r="U153" s="25"/>
      <c r="V153" s="26"/>
    </row>
    <row r="154" spans="21:22" x14ac:dyDescent="0.25">
      <c r="U154" s="25"/>
      <c r="V154" s="26"/>
    </row>
    <row r="155" spans="21:22" x14ac:dyDescent="0.25">
      <c r="U155" s="25"/>
      <c r="V155" s="26"/>
    </row>
    <row r="156" spans="21:22" x14ac:dyDescent="0.25">
      <c r="U156" s="25"/>
      <c r="V156" s="26"/>
    </row>
    <row r="157" spans="21:22" x14ac:dyDescent="0.25">
      <c r="U157" s="25"/>
      <c r="V157" s="26"/>
    </row>
    <row r="158" spans="21:22" x14ac:dyDescent="0.25">
      <c r="U158" s="25"/>
      <c r="V158" s="26"/>
    </row>
    <row r="159" spans="21:22" x14ac:dyDescent="0.25">
      <c r="U159" s="25"/>
      <c r="V159" s="26"/>
    </row>
    <row r="160" spans="21:22" x14ac:dyDescent="0.25">
      <c r="U160" s="25"/>
      <c r="V160" s="26"/>
    </row>
    <row r="161" spans="21:22" x14ac:dyDescent="0.25">
      <c r="U161" s="25"/>
      <c r="V161" s="26"/>
    </row>
    <row r="162" spans="21:22" x14ac:dyDescent="0.25">
      <c r="U162" s="25"/>
      <c r="V162" s="26"/>
    </row>
    <row r="163" spans="21:22" x14ac:dyDescent="0.25">
      <c r="U163" s="25"/>
      <c r="V163" s="26"/>
    </row>
    <row r="164" spans="21:22" x14ac:dyDescent="0.25">
      <c r="U164" s="25"/>
      <c r="V164" s="26"/>
    </row>
    <row r="165" spans="21:22" x14ac:dyDescent="0.25">
      <c r="U165" s="25"/>
      <c r="V165" s="26"/>
    </row>
    <row r="166" spans="21:22" x14ac:dyDescent="0.25">
      <c r="U166" s="25"/>
      <c r="V166" s="26"/>
    </row>
    <row r="167" spans="21:22" x14ac:dyDescent="0.25">
      <c r="U167" s="25"/>
      <c r="V167" s="26"/>
    </row>
    <row r="168" spans="21:22" x14ac:dyDescent="0.25">
      <c r="U168" s="25"/>
      <c r="V168" s="26"/>
    </row>
    <row r="169" spans="21:22" x14ac:dyDescent="0.25">
      <c r="U169" s="25"/>
      <c r="V169" s="26"/>
    </row>
    <row r="170" spans="21:22" x14ac:dyDescent="0.25">
      <c r="U170" s="25"/>
      <c r="V170" s="26"/>
    </row>
    <row r="171" spans="21:22" x14ac:dyDescent="0.25">
      <c r="U171" s="25"/>
      <c r="V171" s="26"/>
    </row>
    <row r="172" spans="21:22" x14ac:dyDescent="0.25">
      <c r="U172" s="25"/>
      <c r="V172" s="26"/>
    </row>
    <row r="173" spans="21:22" x14ac:dyDescent="0.25">
      <c r="U173" s="25"/>
      <c r="V173" s="26"/>
    </row>
    <row r="174" spans="21:22" x14ac:dyDescent="0.25">
      <c r="U174" s="25"/>
      <c r="V174" s="26"/>
    </row>
    <row r="175" spans="21:22" x14ac:dyDescent="0.25">
      <c r="U175" s="25"/>
      <c r="V175" s="26"/>
    </row>
    <row r="176" spans="21:22" x14ac:dyDescent="0.25">
      <c r="U176" s="25"/>
      <c r="V176" s="26"/>
    </row>
    <row r="177" spans="21:22" x14ac:dyDescent="0.25">
      <c r="U177" s="25"/>
      <c r="V177" s="26"/>
    </row>
    <row r="178" spans="21:22" x14ac:dyDescent="0.25">
      <c r="U178" s="25"/>
      <c r="V178" s="26"/>
    </row>
    <row r="179" spans="21:22" x14ac:dyDescent="0.25">
      <c r="U179" s="25"/>
      <c r="V179" s="26"/>
    </row>
    <row r="180" spans="21:22" x14ac:dyDescent="0.25">
      <c r="U180" s="25"/>
      <c r="V180" s="26"/>
    </row>
    <row r="181" spans="21:22" x14ac:dyDescent="0.25">
      <c r="U181" s="25"/>
      <c r="V181" s="26"/>
    </row>
    <row r="182" spans="21:22" x14ac:dyDescent="0.25">
      <c r="U182" s="25"/>
      <c r="V182" s="26"/>
    </row>
    <row r="183" spans="21:22" x14ac:dyDescent="0.25">
      <c r="U183" s="25"/>
      <c r="V183" s="26"/>
    </row>
    <row r="184" spans="21:22" x14ac:dyDescent="0.25">
      <c r="U184" s="25"/>
      <c r="V184" s="26"/>
    </row>
    <row r="185" spans="21:22" x14ac:dyDescent="0.25">
      <c r="U185" s="25"/>
      <c r="V185" s="26"/>
    </row>
    <row r="186" spans="21:22" x14ac:dyDescent="0.25">
      <c r="U186" s="25"/>
      <c r="V186" s="26"/>
    </row>
    <row r="187" spans="21:22" x14ac:dyDescent="0.25">
      <c r="U187" s="25"/>
      <c r="V187" s="26"/>
    </row>
    <row r="188" spans="21:22" x14ac:dyDescent="0.25">
      <c r="U188" s="25"/>
      <c r="V188" s="26"/>
    </row>
    <row r="189" spans="21:22" x14ac:dyDescent="0.25">
      <c r="U189" s="25"/>
      <c r="V189" s="26"/>
    </row>
    <row r="190" spans="21:22" x14ac:dyDescent="0.25">
      <c r="U190" s="25"/>
      <c r="V190" s="26"/>
    </row>
    <row r="191" spans="21:22" x14ac:dyDescent="0.25">
      <c r="U191" s="25"/>
      <c r="V191" s="26"/>
    </row>
    <row r="192" spans="21:22" x14ac:dyDescent="0.25">
      <c r="U192" s="25"/>
      <c r="V192" s="26"/>
    </row>
    <row r="193" spans="21:23" x14ac:dyDescent="0.25">
      <c r="U193" s="25"/>
      <c r="V193" s="26"/>
    </row>
    <row r="194" spans="21:23" x14ac:dyDescent="0.25">
      <c r="U194" s="25"/>
      <c r="V194" s="26"/>
    </row>
    <row r="195" spans="21:23" x14ac:dyDescent="0.25">
      <c r="U195" s="25"/>
      <c r="V195" s="26"/>
    </row>
    <row r="196" spans="21:23" x14ac:dyDescent="0.25">
      <c r="U196" s="25"/>
      <c r="V196" s="26"/>
    </row>
    <row r="197" spans="21:23" x14ac:dyDescent="0.25">
      <c r="U197" s="25"/>
      <c r="V197" s="26"/>
    </row>
    <row r="198" spans="21:23" x14ac:dyDescent="0.25">
      <c r="U198" s="25"/>
      <c r="V198" s="26"/>
    </row>
    <row r="199" spans="21:23" x14ac:dyDescent="0.25">
      <c r="U199" s="25"/>
      <c r="V199" s="26"/>
    </row>
    <row r="200" spans="21:23" x14ac:dyDescent="0.25">
      <c r="U200" s="25"/>
      <c r="V200" s="26"/>
    </row>
    <row r="201" spans="21:23" x14ac:dyDescent="0.25">
      <c r="U201" s="25"/>
      <c r="V201" s="26"/>
    </row>
    <row r="202" spans="21:23" x14ac:dyDescent="0.25">
      <c r="U202" s="25"/>
      <c r="V202" s="26"/>
    </row>
    <row r="203" spans="21:23" x14ac:dyDescent="0.25">
      <c r="U203" s="25"/>
      <c r="V203" s="26"/>
    </row>
    <row r="204" spans="21:23" x14ac:dyDescent="0.25">
      <c r="U204" s="25"/>
      <c r="V204" s="26"/>
    </row>
    <row r="205" spans="21:23" x14ac:dyDescent="0.25">
      <c r="V205" s="25"/>
      <c r="W205" s="26"/>
    </row>
    <row r="206" spans="21:23" x14ac:dyDescent="0.25">
      <c r="V206" s="25"/>
      <c r="W206" s="26"/>
    </row>
    <row r="207" spans="21:23" x14ac:dyDescent="0.25">
      <c r="V207" s="25"/>
      <c r="W207" s="26"/>
    </row>
    <row r="208" spans="21:23" x14ac:dyDescent="0.25">
      <c r="V208" s="25"/>
      <c r="W208" s="26"/>
    </row>
    <row r="209" spans="22:23" x14ac:dyDescent="0.25">
      <c r="V209" s="25"/>
      <c r="W209" s="26"/>
    </row>
    <row r="210" spans="22:23" x14ac:dyDescent="0.25">
      <c r="V210" s="25"/>
      <c r="W210" s="26"/>
    </row>
    <row r="211" spans="22:23" x14ac:dyDescent="0.25">
      <c r="V211" s="25"/>
      <c r="W211" s="26"/>
    </row>
    <row r="212" spans="22:23" x14ac:dyDescent="0.25">
      <c r="V212" s="25"/>
      <c r="W212" s="26"/>
    </row>
    <row r="213" spans="22:23" x14ac:dyDescent="0.25">
      <c r="V213" s="25"/>
      <c r="W213" s="26"/>
    </row>
    <row r="214" spans="22:23" x14ac:dyDescent="0.25">
      <c r="V214" s="25"/>
      <c r="W214" s="26"/>
    </row>
    <row r="215" spans="22:23" x14ac:dyDescent="0.25">
      <c r="V215" s="25"/>
      <c r="W215" s="26"/>
    </row>
    <row r="216" spans="22:23" x14ac:dyDescent="0.25">
      <c r="V216" s="25"/>
      <c r="W216" s="26"/>
    </row>
    <row r="217" spans="22:23" x14ac:dyDescent="0.25">
      <c r="V217" s="25"/>
      <c r="W217" s="26"/>
    </row>
    <row r="218" spans="22:23" x14ac:dyDescent="0.25">
      <c r="V218" s="25"/>
      <c r="W218" s="26"/>
    </row>
    <row r="219" spans="22:23" x14ac:dyDescent="0.25">
      <c r="V219" s="25"/>
      <c r="W219" s="26"/>
    </row>
    <row r="220" spans="22:23" x14ac:dyDescent="0.25">
      <c r="V220" s="25"/>
      <c r="W220" s="26"/>
    </row>
    <row r="221" spans="22:23" x14ac:dyDescent="0.25">
      <c r="V221" s="25"/>
      <c r="W221" s="26"/>
    </row>
    <row r="222" spans="22:23" x14ac:dyDescent="0.25">
      <c r="V222" s="25"/>
      <c r="W222" s="26"/>
    </row>
    <row r="223" spans="22:23" x14ac:dyDescent="0.25">
      <c r="V223" s="25"/>
      <c r="W223" s="26"/>
    </row>
    <row r="224" spans="22:23" x14ac:dyDescent="0.25">
      <c r="V224" s="25"/>
      <c r="W224" s="26"/>
    </row>
    <row r="225" spans="22:23" x14ac:dyDescent="0.25">
      <c r="V225" s="25"/>
      <c r="W225" s="26"/>
    </row>
    <row r="226" spans="22:23" x14ac:dyDescent="0.25">
      <c r="V226" s="25"/>
      <c r="W226" s="26"/>
    </row>
    <row r="227" spans="22:23" x14ac:dyDescent="0.25">
      <c r="V227" s="25"/>
      <c r="W227" s="26"/>
    </row>
    <row r="228" spans="22:23" x14ac:dyDescent="0.25">
      <c r="V228" s="25"/>
      <c r="W228" s="26"/>
    </row>
    <row r="229" spans="22:23" x14ac:dyDescent="0.25">
      <c r="V229" s="25"/>
      <c r="W229" s="26"/>
    </row>
    <row r="230" spans="22:23" x14ac:dyDescent="0.25">
      <c r="V230" s="25"/>
      <c r="W230" s="26"/>
    </row>
    <row r="231" spans="22:23" x14ac:dyDescent="0.25">
      <c r="V231" s="25"/>
      <c r="W231" s="26"/>
    </row>
    <row r="232" spans="22:23" x14ac:dyDescent="0.25">
      <c r="V232" s="25"/>
      <c r="W232" s="26"/>
    </row>
    <row r="233" spans="22:23" x14ac:dyDescent="0.25">
      <c r="V233" s="25"/>
      <c r="W233" s="26"/>
    </row>
    <row r="234" spans="22:23" x14ac:dyDescent="0.25">
      <c r="V234" s="25"/>
      <c r="W234" s="26"/>
    </row>
    <row r="235" spans="22:23" x14ac:dyDescent="0.25">
      <c r="V235" s="25"/>
      <c r="W235" s="26"/>
    </row>
    <row r="236" spans="22:23" x14ac:dyDescent="0.25">
      <c r="V236" s="25"/>
      <c r="W236" s="26"/>
    </row>
    <row r="237" spans="22:23" x14ac:dyDescent="0.25">
      <c r="V237" s="25"/>
      <c r="W237" s="26"/>
    </row>
    <row r="238" spans="22:23" x14ac:dyDescent="0.25">
      <c r="V238" s="25"/>
      <c r="W238" s="26"/>
    </row>
    <row r="239" spans="22:23" x14ac:dyDescent="0.25">
      <c r="V239" s="25"/>
      <c r="W239" s="26"/>
    </row>
    <row r="240" spans="22:23" x14ac:dyDescent="0.25">
      <c r="V240" s="25"/>
      <c r="W240" s="26"/>
    </row>
    <row r="241" spans="22:23" x14ac:dyDescent="0.25">
      <c r="V241" s="25"/>
      <c r="W241" s="26"/>
    </row>
    <row r="242" spans="22:23" x14ac:dyDescent="0.25">
      <c r="V242" s="25"/>
      <c r="W242" s="26"/>
    </row>
    <row r="243" spans="22:23" x14ac:dyDescent="0.25">
      <c r="V243" s="25"/>
      <c r="W243" s="26"/>
    </row>
    <row r="244" spans="22:23" x14ac:dyDescent="0.25">
      <c r="V244" s="25"/>
      <c r="W244" s="26"/>
    </row>
    <row r="245" spans="22:23" x14ac:dyDescent="0.25">
      <c r="V245" s="25"/>
      <c r="W245" s="26"/>
    </row>
    <row r="246" spans="22:23" x14ac:dyDescent="0.25">
      <c r="V246" s="25"/>
      <c r="W246" s="26"/>
    </row>
    <row r="247" spans="22:23" x14ac:dyDescent="0.25">
      <c r="V247" s="25"/>
      <c r="W247" s="26"/>
    </row>
    <row r="248" spans="22:23" x14ac:dyDescent="0.25">
      <c r="V248" s="25"/>
      <c r="W248" s="26"/>
    </row>
    <row r="249" spans="22:23" x14ac:dyDescent="0.25">
      <c r="V249" s="25"/>
      <c r="W249" s="26"/>
    </row>
    <row r="250" spans="22:23" x14ac:dyDescent="0.25">
      <c r="V250" s="25"/>
      <c r="W250" s="26"/>
    </row>
    <row r="251" spans="22:23" x14ac:dyDescent="0.25">
      <c r="V251" s="25"/>
      <c r="W251" s="26"/>
    </row>
    <row r="252" spans="22:23" x14ac:dyDescent="0.25">
      <c r="V252" s="25"/>
      <c r="W252" s="26"/>
    </row>
    <row r="253" spans="22:23" x14ac:dyDescent="0.25">
      <c r="V253" s="25"/>
      <c r="W253" s="26"/>
    </row>
    <row r="254" spans="22:23" x14ac:dyDescent="0.25">
      <c r="V254" s="25"/>
      <c r="W254" s="26"/>
    </row>
    <row r="255" spans="22:23" x14ac:dyDescent="0.25">
      <c r="V255" s="25"/>
      <c r="W255" s="26"/>
    </row>
    <row r="256" spans="22:23" x14ac:dyDescent="0.25">
      <c r="V256" s="25"/>
      <c r="W256" s="26"/>
    </row>
    <row r="257" spans="22:23" x14ac:dyDescent="0.25">
      <c r="V257" s="25"/>
      <c r="W257" s="26"/>
    </row>
    <row r="258" spans="22:23" x14ac:dyDescent="0.25">
      <c r="V258" s="25"/>
      <c r="W258" s="26"/>
    </row>
    <row r="259" spans="22:23" x14ac:dyDescent="0.25">
      <c r="V259" s="25"/>
      <c r="W259" s="26"/>
    </row>
    <row r="260" spans="22:23" x14ac:dyDescent="0.25">
      <c r="V260" s="25"/>
      <c r="W260" s="26"/>
    </row>
    <row r="261" spans="22:23" x14ac:dyDescent="0.25">
      <c r="V261" s="25"/>
      <c r="W261" s="26"/>
    </row>
    <row r="262" spans="22:23" x14ac:dyDescent="0.25">
      <c r="V262" s="25"/>
      <c r="W262" s="26"/>
    </row>
    <row r="263" spans="22:23" x14ac:dyDescent="0.25">
      <c r="V263" s="25"/>
      <c r="W263" s="26"/>
    </row>
    <row r="264" spans="22:23" x14ac:dyDescent="0.25">
      <c r="V264" s="25"/>
      <c r="W264" s="26"/>
    </row>
    <row r="265" spans="22:23" x14ac:dyDescent="0.25">
      <c r="V265" s="25"/>
      <c r="W265" s="26"/>
    </row>
    <row r="266" spans="22:23" x14ac:dyDescent="0.25">
      <c r="V266" s="25"/>
      <c r="W266" s="26"/>
    </row>
    <row r="267" spans="22:23" x14ac:dyDescent="0.25">
      <c r="V267" s="25"/>
      <c r="W267" s="26"/>
    </row>
    <row r="268" spans="22:23" x14ac:dyDescent="0.25">
      <c r="V268" s="25"/>
      <c r="W268" s="26"/>
    </row>
    <row r="269" spans="22:23" x14ac:dyDescent="0.25">
      <c r="V269" s="25"/>
      <c r="W269" s="26"/>
    </row>
    <row r="270" spans="22:23" x14ac:dyDescent="0.25">
      <c r="V270" s="25"/>
      <c r="W270" s="26"/>
    </row>
    <row r="271" spans="22:23" x14ac:dyDescent="0.25">
      <c r="V271" s="25"/>
      <c r="W271" s="26"/>
    </row>
    <row r="272" spans="22:23" x14ac:dyDescent="0.25">
      <c r="V272" s="25"/>
      <c r="W272" s="26"/>
    </row>
    <row r="273" spans="22:23" x14ac:dyDescent="0.25">
      <c r="V273" s="25"/>
      <c r="W273" s="26"/>
    </row>
    <row r="274" spans="22:23" x14ac:dyDescent="0.25">
      <c r="V274" s="25"/>
      <c r="W274" s="26"/>
    </row>
    <row r="275" spans="22:23" x14ac:dyDescent="0.25">
      <c r="V275" s="25"/>
      <c r="W275" s="26"/>
    </row>
    <row r="276" spans="22:23" x14ac:dyDescent="0.25">
      <c r="V276" s="25"/>
      <c r="W276" s="26"/>
    </row>
    <row r="277" spans="22:23" x14ac:dyDescent="0.25">
      <c r="V277" s="25"/>
      <c r="W277" s="26"/>
    </row>
    <row r="278" spans="22:23" x14ac:dyDescent="0.25">
      <c r="V278" s="25"/>
      <c r="W278" s="26"/>
    </row>
    <row r="279" spans="22:23" x14ac:dyDescent="0.25">
      <c r="V279" s="25"/>
      <c r="W279" s="26"/>
    </row>
    <row r="280" spans="22:23" x14ac:dyDescent="0.25">
      <c r="V280" s="25"/>
      <c r="W280" s="26"/>
    </row>
    <row r="281" spans="22:23" x14ac:dyDescent="0.25">
      <c r="V281" s="25"/>
      <c r="W281" s="26"/>
    </row>
    <row r="282" spans="22:23" x14ac:dyDescent="0.25">
      <c r="V282" s="25"/>
      <c r="W282" s="26"/>
    </row>
    <row r="283" spans="22:23" x14ac:dyDescent="0.25">
      <c r="V283" s="25"/>
      <c r="W283" s="26"/>
    </row>
    <row r="284" spans="22:23" x14ac:dyDescent="0.25">
      <c r="V284" s="25"/>
      <c r="W284" s="26"/>
    </row>
    <row r="285" spans="22:23" x14ac:dyDescent="0.25">
      <c r="V285" s="25"/>
      <c r="W285" s="26"/>
    </row>
    <row r="286" spans="22:23" x14ac:dyDescent="0.25">
      <c r="V286" s="25"/>
      <c r="W286" s="26"/>
    </row>
    <row r="287" spans="22:23" x14ac:dyDescent="0.25">
      <c r="V287" s="25"/>
      <c r="W287" s="26"/>
    </row>
    <row r="288" spans="22:23" x14ac:dyDescent="0.25">
      <c r="V288" s="25"/>
      <c r="W288" s="26"/>
    </row>
    <row r="289" spans="22:23" x14ac:dyDescent="0.25">
      <c r="V289" s="25"/>
      <c r="W289" s="26"/>
    </row>
    <row r="290" spans="22:23" x14ac:dyDescent="0.25">
      <c r="V290" s="25"/>
      <c r="W290" s="26"/>
    </row>
    <row r="291" spans="22:23" x14ac:dyDescent="0.25">
      <c r="V291" s="25"/>
      <c r="W291" s="26"/>
    </row>
    <row r="292" spans="22:23" x14ac:dyDescent="0.25">
      <c r="V292" s="25"/>
      <c r="W292" s="26"/>
    </row>
    <row r="293" spans="22:23" x14ac:dyDescent="0.25">
      <c r="V293" s="25"/>
      <c r="W293" s="26"/>
    </row>
    <row r="294" spans="22:23" x14ac:dyDescent="0.25">
      <c r="V294" s="25"/>
      <c r="W294" s="26"/>
    </row>
    <row r="295" spans="22:23" x14ac:dyDescent="0.25">
      <c r="V295" s="25"/>
      <c r="W295" s="26"/>
    </row>
    <row r="296" spans="22:23" x14ac:dyDescent="0.25">
      <c r="V296" s="25"/>
      <c r="W296" s="26"/>
    </row>
    <row r="297" spans="22:23" x14ac:dyDescent="0.25">
      <c r="V297" s="25"/>
      <c r="W297" s="26"/>
    </row>
    <row r="298" spans="22:23" x14ac:dyDescent="0.25">
      <c r="V298" s="25"/>
      <c r="W298" s="26"/>
    </row>
    <row r="299" spans="22:23" x14ac:dyDescent="0.25">
      <c r="V299" s="25"/>
      <c r="W299" s="26"/>
    </row>
    <row r="300" spans="22:23" x14ac:dyDescent="0.25">
      <c r="V300" s="25"/>
      <c r="W300" s="26"/>
    </row>
    <row r="301" spans="22:23" x14ac:dyDescent="0.25">
      <c r="V301" s="25"/>
      <c r="W301" s="26"/>
    </row>
    <row r="302" spans="22:23" x14ac:dyDescent="0.25">
      <c r="V302" s="25"/>
      <c r="W302" s="26"/>
    </row>
    <row r="303" spans="22:23" x14ac:dyDescent="0.25">
      <c r="V303" s="25"/>
      <c r="W303" s="26"/>
    </row>
    <row r="304" spans="22:23" x14ac:dyDescent="0.25">
      <c r="V304" s="25"/>
      <c r="W304" s="26"/>
    </row>
    <row r="305" spans="22:23" x14ac:dyDescent="0.25">
      <c r="V305" s="25"/>
      <c r="W305" s="26"/>
    </row>
    <row r="306" spans="22:23" x14ac:dyDescent="0.25">
      <c r="V306" s="25"/>
      <c r="W306" s="26"/>
    </row>
    <row r="307" spans="22:23" x14ac:dyDescent="0.25">
      <c r="V307" s="25"/>
      <c r="W307" s="26"/>
    </row>
    <row r="308" spans="22:23" x14ac:dyDescent="0.25">
      <c r="V308" s="25"/>
      <c r="W308" s="26"/>
    </row>
    <row r="309" spans="22:23" x14ac:dyDescent="0.25">
      <c r="V309" s="25"/>
      <c r="W309" s="26"/>
    </row>
    <row r="310" spans="22:23" x14ac:dyDescent="0.25">
      <c r="V310" s="25"/>
      <c r="W310" s="26"/>
    </row>
    <row r="311" spans="22:23" x14ac:dyDescent="0.25">
      <c r="V311" s="25"/>
      <c r="W311" s="26"/>
    </row>
    <row r="312" spans="22:23" x14ac:dyDescent="0.25">
      <c r="V312" s="25"/>
      <c r="W312" s="26"/>
    </row>
    <row r="313" spans="22:23" x14ac:dyDescent="0.25">
      <c r="V313" s="25"/>
      <c r="W313" s="26"/>
    </row>
    <row r="314" spans="22:23" x14ac:dyDescent="0.25">
      <c r="V314" s="25"/>
      <c r="W314" s="26"/>
    </row>
    <row r="315" spans="22:23" x14ac:dyDescent="0.25">
      <c r="V315" s="25"/>
      <c r="W315" s="26"/>
    </row>
    <row r="316" spans="22:23" x14ac:dyDescent="0.25">
      <c r="V316" s="25"/>
      <c r="W316" s="26"/>
    </row>
    <row r="317" spans="22:23" x14ac:dyDescent="0.25">
      <c r="V317" s="25"/>
      <c r="W317" s="26"/>
    </row>
    <row r="318" spans="22:23" x14ac:dyDescent="0.25">
      <c r="V318" s="25"/>
      <c r="W318" s="26"/>
    </row>
    <row r="319" spans="22:23" x14ac:dyDescent="0.25">
      <c r="V319" s="25"/>
      <c r="W319" s="26"/>
    </row>
    <row r="320" spans="22:23" x14ac:dyDescent="0.25">
      <c r="V320" s="25"/>
      <c r="W320" s="26"/>
    </row>
    <row r="321" spans="22:23" x14ac:dyDescent="0.25">
      <c r="V321" s="25"/>
      <c r="W321" s="26"/>
    </row>
    <row r="322" spans="22:23" x14ac:dyDescent="0.25">
      <c r="V322" s="25"/>
      <c r="W322" s="26"/>
    </row>
    <row r="323" spans="22:23" x14ac:dyDescent="0.25">
      <c r="V323" s="25"/>
      <c r="W323" s="26"/>
    </row>
    <row r="324" spans="22:23" x14ac:dyDescent="0.25">
      <c r="V324" s="25"/>
      <c r="W324" s="26"/>
    </row>
    <row r="325" spans="22:23" x14ac:dyDescent="0.25">
      <c r="V325" s="25"/>
      <c r="W325" s="26"/>
    </row>
    <row r="326" spans="22:23" x14ac:dyDescent="0.25">
      <c r="V326" s="25"/>
      <c r="W326" s="26"/>
    </row>
    <row r="327" spans="22:23" x14ac:dyDescent="0.25">
      <c r="V327" s="25"/>
      <c r="W327" s="26"/>
    </row>
    <row r="328" spans="22:23" x14ac:dyDescent="0.25">
      <c r="V328" s="25"/>
      <c r="W328" s="26"/>
    </row>
    <row r="329" spans="22:23" x14ac:dyDescent="0.25">
      <c r="V329" s="25"/>
      <c r="W329" s="26"/>
    </row>
    <row r="330" spans="22:23" x14ac:dyDescent="0.25">
      <c r="V330" s="25"/>
      <c r="W330" s="26"/>
    </row>
    <row r="331" spans="22:23" x14ac:dyDescent="0.25">
      <c r="V331" s="25"/>
      <c r="W331" s="26"/>
    </row>
    <row r="332" spans="22:23" x14ac:dyDescent="0.25">
      <c r="V332" s="25"/>
      <c r="W332" s="26"/>
    </row>
    <row r="333" spans="22:23" x14ac:dyDescent="0.25">
      <c r="V333" s="25"/>
      <c r="W333" s="26"/>
    </row>
    <row r="334" spans="22:23" x14ac:dyDescent="0.25">
      <c r="V334" s="25"/>
      <c r="W334" s="26"/>
    </row>
    <row r="335" spans="22:23" x14ac:dyDescent="0.25">
      <c r="V335" s="25"/>
      <c r="W335" s="26"/>
    </row>
    <row r="336" spans="22:23" x14ac:dyDescent="0.25">
      <c r="V336" s="25"/>
      <c r="W336" s="26"/>
    </row>
    <row r="337" spans="22:23" x14ac:dyDescent="0.25">
      <c r="V337" s="25"/>
      <c r="W337" s="26"/>
    </row>
    <row r="338" spans="22:23" x14ac:dyDescent="0.25">
      <c r="V338" s="25"/>
      <c r="W338" s="26"/>
    </row>
    <row r="339" spans="22:23" x14ac:dyDescent="0.25">
      <c r="V339" s="25"/>
      <c r="W339" s="26"/>
    </row>
    <row r="340" spans="22:23" x14ac:dyDescent="0.25">
      <c r="V340" s="25"/>
      <c r="W340" s="26"/>
    </row>
    <row r="341" spans="22:23" x14ac:dyDescent="0.25">
      <c r="V341" s="25"/>
      <c r="W341" s="26"/>
    </row>
    <row r="342" spans="22:23" x14ac:dyDescent="0.25">
      <c r="V342" s="25"/>
      <c r="W342" s="26"/>
    </row>
    <row r="343" spans="22:23" x14ac:dyDescent="0.25">
      <c r="V343" s="25"/>
      <c r="W343" s="26"/>
    </row>
    <row r="344" spans="22:23" x14ac:dyDescent="0.25">
      <c r="V344" s="25"/>
      <c r="W344" s="26"/>
    </row>
    <row r="345" spans="22:23" x14ac:dyDescent="0.25">
      <c r="V345" s="25"/>
      <c r="W345" s="26"/>
    </row>
    <row r="346" spans="22:23" x14ac:dyDescent="0.25">
      <c r="V346" s="25"/>
      <c r="W346" s="26"/>
    </row>
    <row r="347" spans="22:23" x14ac:dyDescent="0.25">
      <c r="V347" s="25"/>
      <c r="W347" s="26"/>
    </row>
    <row r="348" spans="22:23" x14ac:dyDescent="0.25">
      <c r="V348" s="25"/>
      <c r="W348" s="26"/>
    </row>
    <row r="349" spans="22:23" x14ac:dyDescent="0.25">
      <c r="V349" s="25"/>
      <c r="W349" s="26"/>
    </row>
    <row r="350" spans="22:23" x14ac:dyDescent="0.25">
      <c r="V350" s="25"/>
      <c r="W350" s="26"/>
    </row>
    <row r="351" spans="22:23" x14ac:dyDescent="0.25">
      <c r="V351" s="25"/>
      <c r="W351" s="26"/>
    </row>
    <row r="352" spans="22:23" x14ac:dyDescent="0.25">
      <c r="V352" s="25"/>
      <c r="W352" s="26"/>
    </row>
    <row r="353" spans="22:23" x14ac:dyDescent="0.25">
      <c r="V353" s="25"/>
      <c r="W353" s="26"/>
    </row>
    <row r="354" spans="22:23" x14ac:dyDescent="0.25">
      <c r="V354" s="25"/>
      <c r="W354" s="26"/>
    </row>
    <row r="355" spans="22:23" x14ac:dyDescent="0.25">
      <c r="V355" s="25"/>
      <c r="W355" s="26"/>
    </row>
    <row r="356" spans="22:23" x14ac:dyDescent="0.25">
      <c r="V356" s="25"/>
      <c r="W356" s="26"/>
    </row>
    <row r="357" spans="22:23" x14ac:dyDescent="0.25">
      <c r="V357" s="25"/>
      <c r="W357" s="26"/>
    </row>
    <row r="358" spans="22:23" x14ac:dyDescent="0.25">
      <c r="V358" s="25"/>
      <c r="W358" s="26"/>
    </row>
    <row r="359" spans="22:23" x14ac:dyDescent="0.25">
      <c r="V359" s="25"/>
      <c r="W359" s="26"/>
    </row>
    <row r="360" spans="22:23" x14ac:dyDescent="0.25">
      <c r="V360" s="25"/>
      <c r="W360" s="26"/>
    </row>
    <row r="361" spans="22:23" x14ac:dyDescent="0.25">
      <c r="V361" s="25"/>
      <c r="W361" s="26"/>
    </row>
    <row r="362" spans="22:23" x14ac:dyDescent="0.25">
      <c r="V362" s="25"/>
      <c r="W362" s="26"/>
    </row>
    <row r="363" spans="22:23" x14ac:dyDescent="0.25">
      <c r="V363" s="25"/>
      <c r="W363" s="26"/>
    </row>
    <row r="364" spans="22:23" x14ac:dyDescent="0.25">
      <c r="V364" s="25"/>
      <c r="W364" s="26"/>
    </row>
    <row r="365" spans="22:23" x14ac:dyDescent="0.25">
      <c r="V365" s="25"/>
      <c r="W365" s="26"/>
    </row>
    <row r="366" spans="22:23" x14ac:dyDescent="0.25">
      <c r="V366" s="25"/>
      <c r="W366" s="26"/>
    </row>
    <row r="367" spans="22:23" x14ac:dyDescent="0.25">
      <c r="V367" s="25"/>
      <c r="W367" s="26"/>
    </row>
    <row r="368" spans="22:23" x14ac:dyDescent="0.25">
      <c r="V368" s="25"/>
      <c r="W368" s="26"/>
    </row>
    <row r="369" spans="22:23" x14ac:dyDescent="0.25">
      <c r="V369" s="25"/>
      <c r="W369" s="26"/>
    </row>
    <row r="370" spans="22:23" x14ac:dyDescent="0.25">
      <c r="V370" s="25"/>
      <c r="W370" s="26"/>
    </row>
    <row r="371" spans="22:23" x14ac:dyDescent="0.25">
      <c r="V371" s="25"/>
      <c r="W371" s="26"/>
    </row>
    <row r="372" spans="22:23" x14ac:dyDescent="0.25">
      <c r="V372" s="25"/>
      <c r="W372" s="26"/>
    </row>
    <row r="373" spans="22:23" x14ac:dyDescent="0.25">
      <c r="V373" s="25"/>
      <c r="W373" s="26"/>
    </row>
    <row r="374" spans="22:23" x14ac:dyDescent="0.25">
      <c r="V374" s="25"/>
      <c r="W374" s="26"/>
    </row>
    <row r="375" spans="22:23" x14ac:dyDescent="0.25">
      <c r="V375" s="25"/>
      <c r="W375" s="26"/>
    </row>
    <row r="376" spans="22:23" x14ac:dyDescent="0.25">
      <c r="V376" s="25"/>
      <c r="W376" s="25"/>
    </row>
    <row r="377" spans="22:23" x14ac:dyDescent="0.25">
      <c r="V377" s="25"/>
      <c r="W377" s="25"/>
    </row>
    <row r="378" spans="22:23" x14ac:dyDescent="0.25">
      <c r="V378" s="25"/>
      <c r="W378" s="25"/>
    </row>
    <row r="379" spans="22:23" x14ac:dyDescent="0.25">
      <c r="V379" s="25"/>
      <c r="W379" s="25"/>
    </row>
    <row r="380" spans="22:23" x14ac:dyDescent="0.25">
      <c r="V380" s="25"/>
      <c r="W380" s="25"/>
    </row>
    <row r="381" spans="22:23" x14ac:dyDescent="0.25">
      <c r="V381" s="25"/>
      <c r="W381" s="25"/>
    </row>
    <row r="382" spans="22:23" x14ac:dyDescent="0.25">
      <c r="V382" s="25"/>
      <c r="W382" s="25"/>
    </row>
    <row r="383" spans="22:23" x14ac:dyDescent="0.25">
      <c r="V383" s="25"/>
      <c r="W383" s="25"/>
    </row>
    <row r="384" spans="22:23" x14ac:dyDescent="0.25">
      <c r="V384" s="25"/>
      <c r="W384" s="25"/>
    </row>
    <row r="385" spans="22:23" x14ac:dyDescent="0.25">
      <c r="V385" s="25"/>
      <c r="W385" s="25"/>
    </row>
    <row r="386" spans="22:23" x14ac:dyDescent="0.25">
      <c r="V386" s="25"/>
      <c r="W386" s="25"/>
    </row>
    <row r="387" spans="22:23" x14ac:dyDescent="0.25">
      <c r="V387" s="25"/>
      <c r="W387" s="25"/>
    </row>
    <row r="388" spans="22:23" x14ac:dyDescent="0.25">
      <c r="V388" s="25"/>
      <c r="W388" s="25"/>
    </row>
    <row r="389" spans="22:23" x14ac:dyDescent="0.25">
      <c r="V389" s="25"/>
      <c r="W389" s="25"/>
    </row>
    <row r="390" spans="22:23" x14ac:dyDescent="0.25">
      <c r="V390" s="25"/>
      <c r="W390" s="25"/>
    </row>
    <row r="391" spans="22:23" x14ac:dyDescent="0.25">
      <c r="V391" s="25"/>
      <c r="W391" s="25"/>
    </row>
    <row r="392" spans="22:23" x14ac:dyDescent="0.25">
      <c r="V392" s="25"/>
      <c r="W392" s="25"/>
    </row>
    <row r="393" spans="22:23" x14ac:dyDescent="0.25">
      <c r="V393" s="25"/>
      <c r="W393" s="25"/>
    </row>
    <row r="394" spans="22:23" x14ac:dyDescent="0.25">
      <c r="V394" s="25"/>
      <c r="W394" s="25"/>
    </row>
    <row r="395" spans="22:23" x14ac:dyDescent="0.25">
      <c r="V395" s="25"/>
      <c r="W395" s="25"/>
    </row>
    <row r="396" spans="22:23" x14ac:dyDescent="0.25">
      <c r="V396" s="25"/>
      <c r="W396" s="25"/>
    </row>
    <row r="397" spans="22:23" x14ac:dyDescent="0.25">
      <c r="V397" s="25"/>
      <c r="W397" s="25"/>
    </row>
    <row r="398" spans="22:23" x14ac:dyDescent="0.25">
      <c r="V398" s="25"/>
      <c r="W398" s="25"/>
    </row>
    <row r="399" spans="22:23" x14ac:dyDescent="0.25">
      <c r="V399" s="25"/>
      <c r="W399" s="25"/>
    </row>
    <row r="400" spans="22:23" x14ac:dyDescent="0.25">
      <c r="V400" s="25"/>
      <c r="W400" s="25"/>
    </row>
    <row r="401" spans="22:23" x14ac:dyDescent="0.25">
      <c r="V401" s="25"/>
      <c r="W401" s="25"/>
    </row>
    <row r="402" spans="22:23" x14ac:dyDescent="0.25">
      <c r="V402" s="25"/>
      <c r="W402" s="25"/>
    </row>
    <row r="403" spans="22:23" x14ac:dyDescent="0.25">
      <c r="V403" s="25"/>
      <c r="W403" s="25"/>
    </row>
    <row r="404" spans="22:23" x14ac:dyDescent="0.25">
      <c r="V404" s="25"/>
      <c r="W404" s="25"/>
    </row>
    <row r="405" spans="22:23" x14ac:dyDescent="0.25">
      <c r="V405" s="25"/>
      <c r="W405" s="25"/>
    </row>
    <row r="406" spans="22:23" x14ac:dyDescent="0.25">
      <c r="V406" s="25"/>
      <c r="W406" s="25"/>
    </row>
    <row r="407" spans="22:23" x14ac:dyDescent="0.25">
      <c r="V407" s="25"/>
      <c r="W407" s="25"/>
    </row>
    <row r="408" spans="22:23" x14ac:dyDescent="0.25">
      <c r="V408" s="25"/>
      <c r="W408" s="25"/>
    </row>
    <row r="409" spans="22:23" x14ac:dyDescent="0.25">
      <c r="V409" s="25"/>
      <c r="W409" s="25"/>
    </row>
    <row r="410" spans="22:23" x14ac:dyDescent="0.25">
      <c r="V410" s="25"/>
      <c r="W410" s="25"/>
    </row>
    <row r="411" spans="22:23" x14ac:dyDescent="0.25">
      <c r="V411" s="25"/>
      <c r="W411" s="25"/>
    </row>
    <row r="412" spans="22:23" x14ac:dyDescent="0.25">
      <c r="V412" s="25"/>
      <c r="W412" s="25"/>
    </row>
    <row r="413" spans="22:23" x14ac:dyDescent="0.25">
      <c r="V413" s="25"/>
      <c r="W413" s="25"/>
    </row>
    <row r="414" spans="22:23" x14ac:dyDescent="0.25">
      <c r="V414" s="25"/>
      <c r="W414" s="25"/>
    </row>
    <row r="415" spans="22:23" x14ac:dyDescent="0.25">
      <c r="V415" s="25"/>
      <c r="W415" s="25"/>
    </row>
    <row r="416" spans="22:23" x14ac:dyDescent="0.25">
      <c r="V416" s="25"/>
      <c r="W416" s="25"/>
    </row>
    <row r="417" spans="22:23" x14ac:dyDescent="0.25">
      <c r="V417" s="25"/>
      <c r="W417" s="25"/>
    </row>
    <row r="418" spans="22:23" x14ac:dyDescent="0.25">
      <c r="V418" s="25"/>
      <c r="W418" s="25"/>
    </row>
    <row r="419" spans="22:23" x14ac:dyDescent="0.25">
      <c r="V419" s="25"/>
      <c r="W419" s="25"/>
    </row>
    <row r="420" spans="22:23" x14ac:dyDescent="0.25">
      <c r="V420" s="25"/>
      <c r="W420" s="25"/>
    </row>
    <row r="421" spans="22:23" x14ac:dyDescent="0.25">
      <c r="V421" s="25"/>
      <c r="W421" s="25"/>
    </row>
    <row r="422" spans="22:23" x14ac:dyDescent="0.25">
      <c r="V422" s="25"/>
      <c r="W422" s="25"/>
    </row>
    <row r="423" spans="22:23" x14ac:dyDescent="0.25">
      <c r="V423" s="25"/>
      <c r="W423" s="25"/>
    </row>
    <row r="424" spans="22:23" x14ac:dyDescent="0.25">
      <c r="V424" s="25"/>
      <c r="W424" s="25"/>
    </row>
    <row r="425" spans="22:23" x14ac:dyDescent="0.25">
      <c r="V425" s="25"/>
      <c r="W425" s="25"/>
    </row>
    <row r="426" spans="22:23" x14ac:dyDescent="0.25">
      <c r="V426" s="25"/>
      <c r="W426" s="25"/>
    </row>
    <row r="427" spans="22:23" x14ac:dyDescent="0.25">
      <c r="V427" s="25"/>
      <c r="W427" s="25"/>
    </row>
    <row r="428" spans="22:23" x14ac:dyDescent="0.25">
      <c r="V428" s="25"/>
      <c r="W428" s="25"/>
    </row>
    <row r="429" spans="22:23" x14ac:dyDescent="0.25">
      <c r="V429" s="25"/>
      <c r="W429" s="25"/>
    </row>
    <row r="430" spans="22:23" x14ac:dyDescent="0.25">
      <c r="V430" s="25"/>
      <c r="W430" s="25"/>
    </row>
    <row r="431" spans="22:23" x14ac:dyDescent="0.25">
      <c r="V431" s="25"/>
      <c r="W431" s="25"/>
    </row>
    <row r="432" spans="22:23" x14ac:dyDescent="0.25">
      <c r="V432" s="25"/>
      <c r="W432" s="25"/>
    </row>
    <row r="433" spans="22:23" x14ac:dyDescent="0.25">
      <c r="V433" s="25"/>
      <c r="W433" s="25"/>
    </row>
    <row r="434" spans="22:23" x14ac:dyDescent="0.25">
      <c r="V434" s="25"/>
      <c r="W434" s="25"/>
    </row>
    <row r="435" spans="22:23" x14ac:dyDescent="0.25">
      <c r="V435" s="25"/>
      <c r="W435" s="25"/>
    </row>
    <row r="436" spans="22:23" x14ac:dyDescent="0.25">
      <c r="V436" s="25"/>
      <c r="W436" s="25"/>
    </row>
    <row r="437" spans="22:23" x14ac:dyDescent="0.25">
      <c r="V437" s="25"/>
      <c r="W437" s="25"/>
    </row>
    <row r="438" spans="22:23" x14ac:dyDescent="0.25">
      <c r="V438" s="25"/>
      <c r="W438" s="25"/>
    </row>
    <row r="439" spans="22:23" x14ac:dyDescent="0.25">
      <c r="V439" s="25"/>
      <c r="W439" s="25"/>
    </row>
    <row r="440" spans="22:23" x14ac:dyDescent="0.25">
      <c r="V440" s="25"/>
      <c r="W440" s="25"/>
    </row>
    <row r="441" spans="22:23" x14ac:dyDescent="0.25">
      <c r="V441" s="25"/>
      <c r="W441" s="25"/>
    </row>
    <row r="442" spans="22:23" x14ac:dyDescent="0.25">
      <c r="V442" s="25"/>
      <c r="W442" s="25"/>
    </row>
    <row r="443" spans="22:23" x14ac:dyDescent="0.25">
      <c r="V443" s="25"/>
      <c r="W443" s="25"/>
    </row>
    <row r="444" spans="22:23" x14ac:dyDescent="0.25">
      <c r="V444" s="25"/>
      <c r="W444" s="25"/>
    </row>
    <row r="445" spans="22:23" x14ac:dyDescent="0.25">
      <c r="V445" s="25"/>
      <c r="W445" s="25"/>
    </row>
    <row r="446" spans="22:23" x14ac:dyDescent="0.25">
      <c r="V446" s="25"/>
      <c r="W446" s="25"/>
    </row>
    <row r="447" spans="22:23" x14ac:dyDescent="0.25">
      <c r="V447" s="25"/>
      <c r="W447" s="25"/>
    </row>
    <row r="448" spans="22:23" x14ac:dyDescent="0.25">
      <c r="V448" s="25"/>
      <c r="W448" s="25"/>
    </row>
    <row r="449" spans="22:23" x14ac:dyDescent="0.25">
      <c r="V449" s="25"/>
      <c r="W449" s="25"/>
    </row>
    <row r="450" spans="22:23" x14ac:dyDescent="0.25">
      <c r="V450" s="25"/>
      <c r="W450" s="25"/>
    </row>
    <row r="451" spans="22:23" x14ac:dyDescent="0.25">
      <c r="V451" s="25"/>
      <c r="W451" s="25"/>
    </row>
    <row r="452" spans="22:23" x14ac:dyDescent="0.25">
      <c r="V452" s="25"/>
      <c r="W452" s="25"/>
    </row>
    <row r="453" spans="22:23" x14ac:dyDescent="0.25">
      <c r="V453" s="25"/>
      <c r="W453" s="25"/>
    </row>
    <row r="454" spans="22:23" x14ac:dyDescent="0.25">
      <c r="V454" s="25"/>
      <c r="W454" s="25"/>
    </row>
    <row r="455" spans="22:23" x14ac:dyDescent="0.25">
      <c r="V455" s="25"/>
      <c r="W455" s="25"/>
    </row>
    <row r="456" spans="22:23" x14ac:dyDescent="0.25">
      <c r="V456" s="25"/>
      <c r="W456" s="25"/>
    </row>
    <row r="457" spans="22:23" x14ac:dyDescent="0.25">
      <c r="V457" s="25"/>
      <c r="W457" s="25"/>
    </row>
    <row r="458" spans="22:23" x14ac:dyDescent="0.25">
      <c r="V458" s="25"/>
      <c r="W458" s="25"/>
    </row>
    <row r="459" spans="22:23" x14ac:dyDescent="0.25">
      <c r="V459" s="25"/>
      <c r="W459" s="25"/>
    </row>
    <row r="460" spans="22:23" x14ac:dyDescent="0.25">
      <c r="V460" s="25"/>
      <c r="W460" s="25"/>
    </row>
    <row r="461" spans="22:23" x14ac:dyDescent="0.25">
      <c r="V461" s="25"/>
      <c r="W461" s="25"/>
    </row>
    <row r="462" spans="22:23" x14ac:dyDescent="0.25">
      <c r="V462" s="25"/>
      <c r="W462" s="25"/>
    </row>
    <row r="463" spans="22:23" x14ac:dyDescent="0.25">
      <c r="V463" s="25"/>
      <c r="W463" s="25"/>
    </row>
    <row r="464" spans="22:23" x14ac:dyDescent="0.25">
      <c r="V464" s="25"/>
      <c r="W464" s="25"/>
    </row>
    <row r="465" spans="22:23" x14ac:dyDescent="0.25">
      <c r="V465" s="25"/>
      <c r="W465" s="25"/>
    </row>
    <row r="466" spans="22:23" x14ac:dyDescent="0.25">
      <c r="V466" s="25"/>
      <c r="W466" s="25"/>
    </row>
    <row r="467" spans="22:23" x14ac:dyDescent="0.25">
      <c r="V467" s="25"/>
      <c r="W467" s="25"/>
    </row>
    <row r="468" spans="22:23" x14ac:dyDescent="0.25">
      <c r="V468" s="25"/>
      <c r="W468" s="25"/>
    </row>
    <row r="469" spans="22:23" x14ac:dyDescent="0.25">
      <c r="V469" s="25"/>
      <c r="W469" s="25"/>
    </row>
    <row r="470" spans="22:23" x14ac:dyDescent="0.25">
      <c r="V470" s="25"/>
      <c r="W470" s="25"/>
    </row>
    <row r="471" spans="22:23" x14ac:dyDescent="0.25">
      <c r="V471" s="25"/>
      <c r="W471" s="25"/>
    </row>
    <row r="472" spans="22:23" x14ac:dyDescent="0.25">
      <c r="V472" s="25"/>
      <c r="W472" s="25"/>
    </row>
    <row r="473" spans="22:23" x14ac:dyDescent="0.25">
      <c r="V473" s="25"/>
      <c r="W473" s="25"/>
    </row>
    <row r="474" spans="22:23" x14ac:dyDescent="0.25">
      <c r="V474" s="25"/>
      <c r="W474" s="25"/>
    </row>
    <row r="475" spans="22:23" x14ac:dyDescent="0.25">
      <c r="V475" s="25"/>
      <c r="W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1102</v>
      </c>
    </row>
    <row r="2" spans="1:1" x14ac:dyDescent="0.25">
      <c r="A2" t="s">
        <v>1103</v>
      </c>
    </row>
    <row r="3" spans="1:1" x14ac:dyDescent="0.25">
      <c r="A3" t="s">
        <v>1104</v>
      </c>
    </row>
    <row r="4" spans="1:1" x14ac:dyDescent="0.25">
      <c r="A4" t="s">
        <v>1105</v>
      </c>
    </row>
    <row r="5" spans="1:1" x14ac:dyDescent="0.25">
      <c r="A5" t="s">
        <v>1106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B62" sqref="B62:B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1082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1059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1078</v>
      </c>
      <c r="B61" s="3">
        <v>4172</v>
      </c>
      <c r="C61" s="11" t="s">
        <v>1080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1084</v>
      </c>
      <c r="B62" s="3">
        <v>-161000</v>
      </c>
      <c r="C62" s="11" t="s">
        <v>1092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1098</v>
      </c>
      <c r="B63" s="3">
        <v>-149505</v>
      </c>
      <c r="C63" s="11" t="s">
        <v>1099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104951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3" sqref="G19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662</v>
      </c>
      <c r="E2" s="11">
        <f>IF(B2&gt;0,1,0)</f>
        <v>1</v>
      </c>
      <c r="F2" s="11">
        <f>B2*(D2-E2)</f>
        <v>63918700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660</v>
      </c>
      <c r="E3" s="11">
        <f t="shared" ref="E3:E66" si="1">IF(B3&gt;0,1,0)</f>
        <v>1</v>
      </c>
      <c r="F3" s="11">
        <f t="shared" ref="F3:F66" si="2">B3*(D3-E3)</f>
        <v>1977000000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657</v>
      </c>
      <c r="E4" s="11">
        <f t="shared" si="1"/>
        <v>0</v>
      </c>
      <c r="F4" s="11">
        <f t="shared" si="2"/>
        <v>-131400000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655</v>
      </c>
      <c r="E5" s="11">
        <f t="shared" si="1"/>
        <v>0</v>
      </c>
      <c r="F5" s="11">
        <f t="shared" si="2"/>
        <v>-65500000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654</v>
      </c>
      <c r="E6" s="11">
        <f t="shared" si="1"/>
        <v>0</v>
      </c>
      <c r="F6" s="11">
        <f t="shared" si="2"/>
        <v>-35970000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653</v>
      </c>
      <c r="E7" s="11">
        <f t="shared" si="1"/>
        <v>0</v>
      </c>
      <c r="F7" s="11">
        <f t="shared" si="2"/>
        <v>-130600000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649</v>
      </c>
      <c r="E8" s="11">
        <f t="shared" si="1"/>
        <v>0</v>
      </c>
      <c r="F8" s="11">
        <f t="shared" si="2"/>
        <v>-129800000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639</v>
      </c>
      <c r="E9" s="11">
        <f t="shared" si="1"/>
        <v>0</v>
      </c>
      <c r="F9" s="11">
        <f t="shared" si="2"/>
        <v>-607369500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638</v>
      </c>
      <c r="E10" s="11">
        <f t="shared" si="1"/>
        <v>1</v>
      </c>
      <c r="F10" s="11">
        <f t="shared" si="2"/>
        <v>1274000000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636</v>
      </c>
      <c r="E11" s="11">
        <f t="shared" si="1"/>
        <v>0</v>
      </c>
      <c r="F11" s="11">
        <f t="shared" si="2"/>
        <v>-677340000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633</v>
      </c>
      <c r="E12" s="11">
        <f t="shared" si="1"/>
        <v>0</v>
      </c>
      <c r="F12" s="11">
        <f t="shared" si="2"/>
        <v>-28485000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632</v>
      </c>
      <c r="E13" s="11">
        <f t="shared" si="1"/>
        <v>0</v>
      </c>
      <c r="F13" s="11">
        <f t="shared" si="2"/>
        <v>-1264442400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628</v>
      </c>
      <c r="E14" s="11">
        <f t="shared" si="1"/>
        <v>0</v>
      </c>
      <c r="F14" s="11">
        <f t="shared" si="2"/>
        <v>-125600000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626</v>
      </c>
      <c r="E15" s="11">
        <f t="shared" si="1"/>
        <v>1</v>
      </c>
      <c r="F15" s="11">
        <f t="shared" si="2"/>
        <v>1250000000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626</v>
      </c>
      <c r="E16" s="11">
        <f t="shared" si="1"/>
        <v>1</v>
      </c>
      <c r="F16" s="11">
        <f t="shared" si="2"/>
        <v>1250000000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626</v>
      </c>
      <c r="E17" s="11">
        <f t="shared" si="1"/>
        <v>1</v>
      </c>
      <c r="F17" s="11">
        <f t="shared" si="2"/>
        <v>750000000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626</v>
      </c>
      <c r="E18" s="11">
        <f t="shared" si="1"/>
        <v>1</v>
      </c>
      <c r="F18" s="11">
        <f t="shared" si="2"/>
        <v>625000000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625</v>
      </c>
      <c r="E19" s="11">
        <f t="shared" si="1"/>
        <v>1</v>
      </c>
      <c r="F19" s="11">
        <f t="shared" si="2"/>
        <v>1872000000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625</v>
      </c>
      <c r="E20" s="11">
        <f t="shared" si="1"/>
        <v>0</v>
      </c>
      <c r="F20" s="11">
        <f t="shared" si="2"/>
        <v>-270437500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625</v>
      </c>
      <c r="E21" s="11">
        <f t="shared" si="1"/>
        <v>0</v>
      </c>
      <c r="F21" s="11">
        <f t="shared" si="2"/>
        <v>-270437500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625</v>
      </c>
      <c r="E22" s="11">
        <f t="shared" si="1"/>
        <v>0</v>
      </c>
      <c r="F22" s="11">
        <f t="shared" si="2"/>
        <v>-270437500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625</v>
      </c>
      <c r="E23" s="11">
        <f t="shared" si="1"/>
        <v>0</v>
      </c>
      <c r="F23" s="11">
        <f t="shared" si="2"/>
        <v>-270437500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625</v>
      </c>
      <c r="E24" s="11">
        <f t="shared" si="1"/>
        <v>0</v>
      </c>
      <c r="F24" s="11">
        <f t="shared" si="2"/>
        <v>-270437500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625</v>
      </c>
      <c r="E25" s="11">
        <f t="shared" si="1"/>
        <v>0</v>
      </c>
      <c r="F25" s="11">
        <f t="shared" si="2"/>
        <v>-125000000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624</v>
      </c>
      <c r="E26" s="11">
        <f t="shared" si="1"/>
        <v>1</v>
      </c>
      <c r="F26" s="11">
        <f t="shared" si="2"/>
        <v>1869000000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622</v>
      </c>
      <c r="E27" s="11">
        <f t="shared" si="1"/>
        <v>0</v>
      </c>
      <c r="F27" s="11">
        <f t="shared" si="2"/>
        <v>-124400000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621</v>
      </c>
      <c r="E28" s="11">
        <f t="shared" si="1"/>
        <v>1</v>
      </c>
      <c r="F28" s="11">
        <f t="shared" si="2"/>
        <v>1240000000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620</v>
      </c>
      <c r="E29" s="11">
        <f t="shared" si="1"/>
        <v>0</v>
      </c>
      <c r="F29" s="11">
        <f t="shared" si="2"/>
        <v>-4340496000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619</v>
      </c>
      <c r="E30" s="11">
        <f t="shared" si="1"/>
        <v>0</v>
      </c>
      <c r="F30" s="11">
        <f t="shared" si="2"/>
        <v>-1857557100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618</v>
      </c>
      <c r="E31" s="11">
        <f t="shared" si="1"/>
        <v>0</v>
      </c>
      <c r="F31" s="11">
        <f t="shared" si="2"/>
        <v>-1048066200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615</v>
      </c>
      <c r="E32" s="11">
        <f t="shared" si="1"/>
        <v>1</v>
      </c>
      <c r="F32" s="11">
        <f t="shared" si="2"/>
        <v>610500200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609</v>
      </c>
      <c r="E33" s="11">
        <f t="shared" si="1"/>
        <v>1</v>
      </c>
      <c r="F33" s="11">
        <f t="shared" si="2"/>
        <v>21335328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608</v>
      </c>
      <c r="E34" s="11">
        <f t="shared" si="1"/>
        <v>0</v>
      </c>
      <c r="F34" s="11">
        <f t="shared" si="2"/>
        <v>-516800000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600</v>
      </c>
      <c r="E35" s="11">
        <f t="shared" si="1"/>
        <v>0</v>
      </c>
      <c r="F35" s="11">
        <f t="shared" si="2"/>
        <v>-114300000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599</v>
      </c>
      <c r="E36" s="11">
        <f t="shared" si="1"/>
        <v>1</v>
      </c>
      <c r="F36" s="11">
        <f t="shared" si="2"/>
        <v>119600000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599</v>
      </c>
      <c r="E37" s="11">
        <f t="shared" si="1"/>
        <v>0</v>
      </c>
      <c r="F37" s="11">
        <f t="shared" si="2"/>
        <v>-119800000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577</v>
      </c>
      <c r="E38" s="11">
        <f t="shared" si="1"/>
        <v>1</v>
      </c>
      <c r="F38" s="11">
        <f t="shared" si="2"/>
        <v>173264256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576</v>
      </c>
      <c r="E39" s="11">
        <f t="shared" si="1"/>
        <v>0</v>
      </c>
      <c r="F39" s="11">
        <f t="shared" si="2"/>
        <v>-54720000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576</v>
      </c>
      <c r="E40" s="11">
        <f t="shared" si="1"/>
        <v>0</v>
      </c>
      <c r="F40" s="11">
        <f t="shared" si="2"/>
        <v>-50747328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571</v>
      </c>
      <c r="E41" s="11">
        <f t="shared" si="1"/>
        <v>0</v>
      </c>
      <c r="F41" s="11">
        <f t="shared" si="2"/>
        <v>-68520000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549</v>
      </c>
      <c r="E42" s="11">
        <f t="shared" si="1"/>
        <v>1</v>
      </c>
      <c r="F42" s="11">
        <f t="shared" si="2"/>
        <v>548111792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545</v>
      </c>
      <c r="E43" s="11">
        <f t="shared" si="1"/>
        <v>0</v>
      </c>
      <c r="F43" s="11">
        <f t="shared" si="2"/>
        <v>-43600000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541</v>
      </c>
      <c r="E44" s="11">
        <f t="shared" si="1"/>
        <v>0</v>
      </c>
      <c r="F44" s="11">
        <f t="shared" si="2"/>
        <v>-114166689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540</v>
      </c>
      <c r="E45" s="11">
        <f t="shared" si="1"/>
        <v>0</v>
      </c>
      <c r="F45" s="11">
        <f t="shared" si="2"/>
        <v>-108000000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539</v>
      </c>
      <c r="E46" s="11">
        <f t="shared" si="1"/>
        <v>0</v>
      </c>
      <c r="F46" s="11">
        <f t="shared" si="2"/>
        <v>-51205000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537</v>
      </c>
      <c r="E47" s="11">
        <f t="shared" si="1"/>
        <v>0</v>
      </c>
      <c r="F47" s="11">
        <f t="shared" si="2"/>
        <v>-24165000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537</v>
      </c>
      <c r="E48" s="11">
        <f t="shared" si="1"/>
        <v>0</v>
      </c>
      <c r="F48" s="11">
        <f t="shared" si="2"/>
        <v>-34464660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534</v>
      </c>
      <c r="E49" s="11">
        <f t="shared" si="1"/>
        <v>0</v>
      </c>
      <c r="F49" s="11">
        <f t="shared" si="2"/>
        <v>-14676456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533</v>
      </c>
      <c r="E50" s="11">
        <f t="shared" si="1"/>
        <v>0</v>
      </c>
      <c r="F50" s="11">
        <f t="shared" si="2"/>
        <v>-75153000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533</v>
      </c>
      <c r="E51" s="11">
        <f t="shared" si="1"/>
        <v>0</v>
      </c>
      <c r="F51" s="11">
        <f t="shared" si="2"/>
        <v>-14255618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532</v>
      </c>
      <c r="E52" s="11">
        <f t="shared" si="1"/>
        <v>0</v>
      </c>
      <c r="F52" s="11">
        <f t="shared" si="2"/>
        <v>-28355600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531</v>
      </c>
      <c r="E53" s="11">
        <f t="shared" si="1"/>
        <v>1</v>
      </c>
      <c r="F53" s="11">
        <f t="shared" si="2"/>
        <v>530000000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525</v>
      </c>
      <c r="E54" s="11">
        <f t="shared" si="1"/>
        <v>0</v>
      </c>
      <c r="F54" s="11">
        <f t="shared" si="2"/>
        <v>-11025000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524</v>
      </c>
      <c r="E55" s="11">
        <f t="shared" si="1"/>
        <v>0</v>
      </c>
      <c r="F55" s="11">
        <f t="shared" si="2"/>
        <v>-513782000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524</v>
      </c>
      <c r="E56" s="11">
        <f t="shared" si="1"/>
        <v>0</v>
      </c>
      <c r="F56" s="11">
        <f t="shared" si="2"/>
        <v>-23580000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511</v>
      </c>
      <c r="E57" s="11">
        <f t="shared" si="1"/>
        <v>1</v>
      </c>
      <c r="F57" s="11">
        <f t="shared" si="2"/>
        <v>1532646390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511</v>
      </c>
      <c r="E58" s="11">
        <f t="shared" si="1"/>
        <v>1</v>
      </c>
      <c r="F58" s="11">
        <f t="shared" si="2"/>
        <v>1020000000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510</v>
      </c>
      <c r="E59" s="11">
        <f t="shared" si="1"/>
        <v>1</v>
      </c>
      <c r="F59" s="11">
        <f t="shared" si="2"/>
        <v>1018000000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510</v>
      </c>
      <c r="E60" s="11">
        <f t="shared" si="1"/>
        <v>0</v>
      </c>
      <c r="F60" s="11">
        <f t="shared" si="2"/>
        <v>-3570765000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486</v>
      </c>
      <c r="E61" s="11">
        <f t="shared" si="1"/>
        <v>1</v>
      </c>
      <c r="F61" s="11">
        <f t="shared" si="2"/>
        <v>1455000000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485</v>
      </c>
      <c r="E62" s="11">
        <f t="shared" si="1"/>
        <v>0</v>
      </c>
      <c r="F62" s="11">
        <f t="shared" si="2"/>
        <v>-13147865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485</v>
      </c>
      <c r="E63" s="11">
        <f t="shared" si="1"/>
        <v>0</v>
      </c>
      <c r="F63" s="11">
        <f t="shared" si="2"/>
        <v>-15999665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485</v>
      </c>
      <c r="E64" s="11">
        <f t="shared" si="1"/>
        <v>1</v>
      </c>
      <c r="F64" s="11">
        <f t="shared" si="2"/>
        <v>1452000000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485</v>
      </c>
      <c r="E65" s="11">
        <f t="shared" si="1"/>
        <v>1</v>
      </c>
      <c r="F65" s="11">
        <f t="shared" si="2"/>
        <v>1437480000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485</v>
      </c>
      <c r="E66" s="11">
        <f t="shared" si="1"/>
        <v>1</v>
      </c>
      <c r="F66" s="11">
        <f t="shared" si="2"/>
        <v>484000000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485</v>
      </c>
      <c r="E67" s="11">
        <f t="shared" ref="E67:E130" si="4">IF(B67&gt;0,1,0)</f>
        <v>1</v>
      </c>
      <c r="F67" s="11">
        <f t="shared" ref="F67:F200" si="5">B67*(D67-E67)</f>
        <v>14520000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484</v>
      </c>
      <c r="E68" s="11">
        <f t="shared" si="4"/>
        <v>1</v>
      </c>
      <c r="F68" s="11">
        <f t="shared" si="5"/>
        <v>14490000000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483</v>
      </c>
      <c r="E69" s="11">
        <f t="shared" si="4"/>
        <v>0</v>
      </c>
      <c r="F69" s="11">
        <f t="shared" si="5"/>
        <v>-96600000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483</v>
      </c>
      <c r="E70" s="11">
        <f t="shared" si="4"/>
        <v>1</v>
      </c>
      <c r="F70" s="11">
        <f t="shared" si="5"/>
        <v>674800000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483</v>
      </c>
      <c r="E71" s="11">
        <f t="shared" si="4"/>
        <v>1</v>
      </c>
      <c r="F71" s="11">
        <f t="shared" si="5"/>
        <v>1253200000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483</v>
      </c>
      <c r="E72" s="11">
        <f t="shared" si="4"/>
        <v>0</v>
      </c>
      <c r="F72" s="11">
        <f t="shared" si="5"/>
        <v>-483000000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481</v>
      </c>
      <c r="E73" s="11">
        <f t="shared" si="4"/>
        <v>1</v>
      </c>
      <c r="F73" s="11">
        <f t="shared" si="5"/>
        <v>7200000000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476</v>
      </c>
      <c r="E74" s="11">
        <f t="shared" si="4"/>
        <v>0</v>
      </c>
      <c r="F74" s="11">
        <f t="shared" si="5"/>
        <v>-7141999200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474</v>
      </c>
      <c r="E75" s="11">
        <f t="shared" si="4"/>
        <v>0</v>
      </c>
      <c r="F75" s="11">
        <f t="shared" si="5"/>
        <v>-1422000000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474</v>
      </c>
      <c r="E76" s="11">
        <f t="shared" si="4"/>
        <v>0</v>
      </c>
      <c r="F76" s="11">
        <f t="shared" si="5"/>
        <v>-94800000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474</v>
      </c>
      <c r="E77" s="11">
        <f t="shared" si="4"/>
        <v>0</v>
      </c>
      <c r="F77" s="11">
        <f t="shared" si="5"/>
        <v>-5689422000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470</v>
      </c>
      <c r="E78" s="11">
        <f t="shared" si="4"/>
        <v>0</v>
      </c>
      <c r="F78" s="11">
        <f t="shared" si="5"/>
        <v>-1410423000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465</v>
      </c>
      <c r="E79" s="11">
        <f t="shared" si="4"/>
        <v>1</v>
      </c>
      <c r="F79" s="11">
        <f t="shared" si="5"/>
        <v>10672000000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460</v>
      </c>
      <c r="E80" s="11">
        <f t="shared" si="4"/>
        <v>0</v>
      </c>
      <c r="F80" s="11">
        <f t="shared" si="5"/>
        <v>-276230000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460</v>
      </c>
      <c r="E81" s="11">
        <f t="shared" si="4"/>
        <v>0</v>
      </c>
      <c r="F81" s="11">
        <f t="shared" si="5"/>
        <v>-92000000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459</v>
      </c>
      <c r="E82" s="11">
        <f t="shared" si="4"/>
        <v>1</v>
      </c>
      <c r="F82" s="11">
        <f t="shared" si="5"/>
        <v>129715218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459</v>
      </c>
      <c r="E83" s="11">
        <f t="shared" si="4"/>
        <v>0</v>
      </c>
      <c r="F83" s="11">
        <f t="shared" si="5"/>
        <v>-91800000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457</v>
      </c>
      <c r="E84" s="11">
        <f t="shared" si="4"/>
        <v>1</v>
      </c>
      <c r="F84" s="11">
        <f t="shared" si="5"/>
        <v>912000000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454</v>
      </c>
      <c r="E85" s="11">
        <f t="shared" si="4"/>
        <v>0</v>
      </c>
      <c r="F85" s="11">
        <f t="shared" si="5"/>
        <v>-90800000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448</v>
      </c>
      <c r="E86" s="11">
        <f t="shared" si="4"/>
        <v>0</v>
      </c>
      <c r="F86" s="11">
        <f t="shared" si="5"/>
        <v>-89600000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446</v>
      </c>
      <c r="E87" s="11">
        <f t="shared" si="4"/>
        <v>0</v>
      </c>
      <c r="F87" s="11">
        <f t="shared" si="5"/>
        <v>-590950000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431</v>
      </c>
      <c r="E88" s="11">
        <f t="shared" si="4"/>
        <v>0</v>
      </c>
      <c r="F88" s="11">
        <f t="shared" si="5"/>
        <v>-215500000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431</v>
      </c>
      <c r="E89" s="11">
        <f t="shared" si="4"/>
        <v>0</v>
      </c>
      <c r="F89" s="11">
        <f t="shared" si="5"/>
        <v>-51720000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429</v>
      </c>
      <c r="E90" s="11">
        <f t="shared" si="4"/>
        <v>1</v>
      </c>
      <c r="F90" s="11">
        <f t="shared" si="5"/>
        <v>183271740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426</v>
      </c>
      <c r="E91" s="11">
        <f t="shared" si="4"/>
        <v>0</v>
      </c>
      <c r="F91" s="11">
        <f t="shared" si="5"/>
        <v>-1278852000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424</v>
      </c>
      <c r="E92" s="11">
        <f t="shared" si="4"/>
        <v>0</v>
      </c>
      <c r="F92" s="11">
        <f t="shared" si="5"/>
        <v>-86920000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424</v>
      </c>
      <c r="E93" s="11">
        <f t="shared" si="4"/>
        <v>0</v>
      </c>
      <c r="F93" s="11">
        <f t="shared" si="5"/>
        <v>-148612000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413</v>
      </c>
      <c r="E94" s="11">
        <f t="shared" si="4"/>
        <v>1</v>
      </c>
      <c r="F94" s="11">
        <f t="shared" si="5"/>
        <v>412000000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408</v>
      </c>
      <c r="E95" s="11">
        <f t="shared" si="4"/>
        <v>1</v>
      </c>
      <c r="F95" s="11">
        <f t="shared" si="5"/>
        <v>3663000000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406</v>
      </c>
      <c r="E96" s="11">
        <f t="shared" si="4"/>
        <v>0</v>
      </c>
      <c r="F96" s="11">
        <f t="shared" si="5"/>
        <v>-10556000000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406</v>
      </c>
      <c r="E97" s="11">
        <f t="shared" si="4"/>
        <v>0</v>
      </c>
      <c r="F97" s="11">
        <f t="shared" si="5"/>
        <v>-10556000000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406</v>
      </c>
      <c r="E98" s="11">
        <f t="shared" si="4"/>
        <v>1</v>
      </c>
      <c r="F98" s="11">
        <f t="shared" si="5"/>
        <v>10530000000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406</v>
      </c>
      <c r="E99" s="11">
        <f t="shared" si="4"/>
        <v>0</v>
      </c>
      <c r="F99" s="11">
        <f t="shared" si="5"/>
        <v>-81200000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404</v>
      </c>
      <c r="E100" s="11">
        <f t="shared" si="4"/>
        <v>1</v>
      </c>
      <c r="F100" s="11">
        <f t="shared" si="5"/>
        <v>11767600000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399</v>
      </c>
      <c r="E101" s="11">
        <f t="shared" si="4"/>
        <v>1</v>
      </c>
      <c r="F101" s="11">
        <f t="shared" si="5"/>
        <v>159178110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398</v>
      </c>
      <c r="E102" s="11">
        <f t="shared" si="4"/>
        <v>1</v>
      </c>
      <c r="F102" s="11">
        <f t="shared" si="5"/>
        <v>794000000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397</v>
      </c>
      <c r="E103" s="11">
        <f t="shared" si="4"/>
        <v>1</v>
      </c>
      <c r="F103" s="11">
        <f t="shared" si="5"/>
        <v>2970000000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397</v>
      </c>
      <c r="E104" s="11">
        <f t="shared" si="4"/>
        <v>0</v>
      </c>
      <c r="F104" s="11">
        <f t="shared" si="5"/>
        <v>-26202000000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397</v>
      </c>
      <c r="E105" s="11">
        <f t="shared" si="4"/>
        <v>0</v>
      </c>
      <c r="F105" s="11">
        <f t="shared" si="5"/>
        <v>-57565000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395</v>
      </c>
      <c r="E106" s="11">
        <f t="shared" si="4"/>
        <v>1</v>
      </c>
      <c r="F106" s="11">
        <f t="shared" si="5"/>
        <v>2364000000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393</v>
      </c>
      <c r="E107" s="11">
        <f t="shared" si="4"/>
        <v>0</v>
      </c>
      <c r="F107" s="11">
        <f t="shared" si="5"/>
        <v>-2360318700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390</v>
      </c>
      <c r="E108" s="11">
        <f t="shared" si="4"/>
        <v>1</v>
      </c>
      <c r="F108" s="11">
        <f t="shared" si="5"/>
        <v>2334000000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378</v>
      </c>
      <c r="E109" s="11">
        <f t="shared" si="4"/>
        <v>0</v>
      </c>
      <c r="F109" s="11">
        <f t="shared" si="5"/>
        <v>-45360000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377</v>
      </c>
      <c r="E110" s="11">
        <f t="shared" si="4"/>
        <v>1</v>
      </c>
      <c r="F110" s="11">
        <f t="shared" si="5"/>
        <v>1504000000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376</v>
      </c>
      <c r="E111" s="11">
        <f t="shared" si="4"/>
        <v>1</v>
      </c>
      <c r="F111" s="11">
        <f t="shared" si="5"/>
        <v>1050000000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372</v>
      </c>
      <c r="E112" s="11">
        <f t="shared" si="4"/>
        <v>0</v>
      </c>
      <c r="F112" s="11">
        <f t="shared" si="5"/>
        <v>-74400000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371</v>
      </c>
      <c r="E113" s="11">
        <f t="shared" si="4"/>
        <v>1</v>
      </c>
      <c r="F113" s="11">
        <f t="shared" si="5"/>
        <v>26754700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354</v>
      </c>
      <c r="E114" s="11">
        <f t="shared" si="4"/>
        <v>0</v>
      </c>
      <c r="F114" s="11">
        <f t="shared" si="5"/>
        <v>-70800000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353</v>
      </c>
      <c r="E115" s="11">
        <f t="shared" si="4"/>
        <v>0</v>
      </c>
      <c r="F115" s="23">
        <f t="shared" si="5"/>
        <v>-3883000000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353</v>
      </c>
      <c r="E116" s="11">
        <f t="shared" si="4"/>
        <v>0</v>
      </c>
      <c r="F116" s="11">
        <f t="shared" si="5"/>
        <v>-70600000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351</v>
      </c>
      <c r="E117" s="11">
        <f t="shared" si="4"/>
        <v>0</v>
      </c>
      <c r="F117" s="11">
        <f t="shared" si="5"/>
        <v>-158125500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351</v>
      </c>
      <c r="E118" s="11">
        <f t="shared" si="4"/>
        <v>0</v>
      </c>
      <c r="F118" s="11">
        <f t="shared" si="5"/>
        <v>-70200000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345</v>
      </c>
      <c r="E119" s="11">
        <f t="shared" si="4"/>
        <v>0</v>
      </c>
      <c r="F119" s="11">
        <f t="shared" si="5"/>
        <v>-53319750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345</v>
      </c>
      <c r="E120" s="11">
        <f t="shared" si="4"/>
        <v>0</v>
      </c>
      <c r="F120" s="11">
        <f t="shared" si="5"/>
        <v>-110400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344</v>
      </c>
      <c r="E121" s="11">
        <f t="shared" si="4"/>
        <v>0</v>
      </c>
      <c r="F121" s="11">
        <f t="shared" si="5"/>
        <v>-148608000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338</v>
      </c>
      <c r="E122" s="11">
        <f t="shared" si="4"/>
        <v>1</v>
      </c>
      <c r="F122" s="11">
        <f t="shared" si="5"/>
        <v>24952491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317</v>
      </c>
      <c r="E123" s="11">
        <f t="shared" si="4"/>
        <v>0</v>
      </c>
      <c r="F123" s="11">
        <f t="shared" si="5"/>
        <v>-16484000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276</v>
      </c>
      <c r="E124" s="11">
        <f t="shared" si="4"/>
        <v>1</v>
      </c>
      <c r="F124" s="11">
        <f t="shared" si="5"/>
        <v>326425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275</v>
      </c>
      <c r="E125" s="11">
        <f t="shared" si="4"/>
        <v>1</v>
      </c>
      <c r="F125" s="11">
        <f t="shared" si="5"/>
        <v>657600000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273</v>
      </c>
      <c r="E126" s="11">
        <f t="shared" si="4"/>
        <v>1</v>
      </c>
      <c r="F126" s="11">
        <f t="shared" si="5"/>
        <v>365241600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273</v>
      </c>
      <c r="E127" s="11">
        <f t="shared" si="4"/>
        <v>1</v>
      </c>
      <c r="F127" s="11">
        <f t="shared" si="5"/>
        <v>365241600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261</v>
      </c>
      <c r="E128" s="11">
        <f t="shared" si="4"/>
        <v>0</v>
      </c>
      <c r="F128" s="11">
        <f t="shared" si="5"/>
        <v>-52200000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259</v>
      </c>
      <c r="E129" s="11">
        <f t="shared" si="4"/>
        <v>0</v>
      </c>
      <c r="F129" s="11">
        <f>B129*(D129-E129)</f>
        <v>-4045062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258</v>
      </c>
      <c r="E130" s="11">
        <f t="shared" si="4"/>
        <v>0</v>
      </c>
      <c r="F130" s="11">
        <f t="shared" si="5"/>
        <v>-51600000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257</v>
      </c>
      <c r="E131" s="11">
        <f t="shared" ref="E131:E201" si="7">IF(B131&gt;0,1,0)</f>
        <v>0</v>
      </c>
      <c r="F131" s="11">
        <f t="shared" si="5"/>
        <v>-51400000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256</v>
      </c>
      <c r="E132" s="11">
        <f t="shared" si="7"/>
        <v>0</v>
      </c>
      <c r="F132" s="11">
        <f t="shared" si="5"/>
        <v>-99840000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256</v>
      </c>
      <c r="E133" s="11">
        <f t="shared" si="7"/>
        <v>0</v>
      </c>
      <c r="F133" s="11">
        <f t="shared" si="5"/>
        <v>-6272000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255</v>
      </c>
      <c r="E134" s="11">
        <f t="shared" si="7"/>
        <v>0</v>
      </c>
      <c r="F134" s="11">
        <f t="shared" si="5"/>
        <v>-24225000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251</v>
      </c>
      <c r="E135" s="11">
        <f t="shared" si="7"/>
        <v>0</v>
      </c>
      <c r="F135" s="11">
        <f t="shared" si="5"/>
        <v>-50200000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249</v>
      </c>
      <c r="E136" s="11">
        <f t="shared" si="7"/>
        <v>1</v>
      </c>
      <c r="F136" s="11">
        <f t="shared" si="5"/>
        <v>12400000000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248</v>
      </c>
      <c r="E137" s="11">
        <f t="shared" si="7"/>
        <v>1</v>
      </c>
      <c r="F137" s="11">
        <f t="shared" si="5"/>
        <v>2964000000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246</v>
      </c>
      <c r="E138" s="11">
        <f t="shared" si="7"/>
        <v>1</v>
      </c>
      <c r="F138" s="11">
        <f t="shared" si="5"/>
        <v>490000000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245</v>
      </c>
      <c r="E139" s="11">
        <f t="shared" si="7"/>
        <v>1</v>
      </c>
      <c r="F139" s="11">
        <f t="shared" si="5"/>
        <v>21359272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232</v>
      </c>
      <c r="E140" s="11">
        <f t="shared" si="7"/>
        <v>0</v>
      </c>
      <c r="F140" s="11">
        <f t="shared" si="5"/>
        <v>-696208800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231</v>
      </c>
      <c r="E141" s="11">
        <f t="shared" si="7"/>
        <v>0</v>
      </c>
      <c r="F141" s="11">
        <f t="shared" si="5"/>
        <v>-693207900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214</v>
      </c>
      <c r="E142" s="11">
        <f t="shared" si="7"/>
        <v>1</v>
      </c>
      <c r="F142" s="11">
        <f t="shared" si="5"/>
        <v>128231325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214</v>
      </c>
      <c r="E143" s="11">
        <f t="shared" si="7"/>
        <v>0</v>
      </c>
      <c r="F143" s="11">
        <f t="shared" si="5"/>
        <v>-9844000000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183</v>
      </c>
      <c r="E144" s="11">
        <f t="shared" si="7"/>
        <v>1</v>
      </c>
      <c r="F144" s="11">
        <f t="shared" si="5"/>
        <v>28047474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182</v>
      </c>
      <c r="E145" s="11">
        <f t="shared" si="7"/>
        <v>1</v>
      </c>
      <c r="F145" s="11">
        <f t="shared" si="5"/>
        <v>543000000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179</v>
      </c>
      <c r="E146" s="11">
        <f t="shared" si="7"/>
        <v>0</v>
      </c>
      <c r="F146" s="11">
        <f t="shared" si="5"/>
        <v>-35800000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174</v>
      </c>
      <c r="E147" s="11">
        <f t="shared" si="7"/>
        <v>0</v>
      </c>
      <c r="F147" s="11">
        <f t="shared" si="5"/>
        <v>-34800000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173</v>
      </c>
      <c r="E148" s="11">
        <f t="shared" si="7"/>
        <v>0</v>
      </c>
      <c r="F148" s="11">
        <f t="shared" si="5"/>
        <v>-34600000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169</v>
      </c>
      <c r="E149" s="11">
        <f t="shared" si="7"/>
        <v>0</v>
      </c>
      <c r="F149" s="11">
        <f t="shared" si="5"/>
        <v>-33800000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168</v>
      </c>
      <c r="E150" s="11">
        <f t="shared" si="7"/>
        <v>1</v>
      </c>
      <c r="F150" s="11">
        <f t="shared" si="5"/>
        <v>4020257800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166</v>
      </c>
      <c r="E151" s="11">
        <f t="shared" si="7"/>
        <v>0</v>
      </c>
      <c r="F151" s="11">
        <f t="shared" si="5"/>
        <v>-33200000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160</v>
      </c>
      <c r="E152" s="11">
        <f t="shared" si="7"/>
        <v>0</v>
      </c>
      <c r="F152" s="11">
        <f t="shared" si="5"/>
        <v>-4800000000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159</v>
      </c>
      <c r="E153" s="11">
        <f t="shared" si="7"/>
        <v>0</v>
      </c>
      <c r="F153" s="11">
        <f t="shared" si="5"/>
        <v>-8268000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159</v>
      </c>
      <c r="E154" s="11">
        <f t="shared" si="7"/>
        <v>0</v>
      </c>
      <c r="F154" s="11">
        <f t="shared" si="5"/>
        <v>-21624000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154</v>
      </c>
      <c r="E155" s="11">
        <f t="shared" si="7"/>
        <v>1</v>
      </c>
      <c r="F155" s="11">
        <f t="shared" si="5"/>
        <v>459000000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153</v>
      </c>
      <c r="E156" s="11">
        <f t="shared" si="7"/>
        <v>1</v>
      </c>
      <c r="F156" s="11">
        <f t="shared" si="5"/>
        <v>28743656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153</v>
      </c>
      <c r="E157" s="11">
        <f t="shared" si="7"/>
        <v>1</v>
      </c>
      <c r="F157" s="11">
        <f t="shared" si="5"/>
        <v>3682610400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145</v>
      </c>
      <c r="E158" s="11">
        <f t="shared" si="7"/>
        <v>1</v>
      </c>
      <c r="F158" s="11">
        <f t="shared" si="5"/>
        <v>3498508800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145</v>
      </c>
      <c r="E159" s="11">
        <f t="shared" si="7"/>
        <v>0</v>
      </c>
      <c r="F159" s="11">
        <f t="shared" si="5"/>
        <v>-29145000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140</v>
      </c>
      <c r="E160" s="11">
        <f t="shared" si="7"/>
        <v>0</v>
      </c>
      <c r="F160" s="11">
        <f t="shared" si="5"/>
        <v>-28000000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137</v>
      </c>
      <c r="E161" s="11">
        <f t="shared" si="7"/>
        <v>0</v>
      </c>
      <c r="F161" s="11">
        <f t="shared" si="5"/>
        <v>-27400000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133</v>
      </c>
      <c r="E162" s="11">
        <f t="shared" si="7"/>
        <v>0</v>
      </c>
      <c r="F162" s="11">
        <f t="shared" si="5"/>
        <v>-26600000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130</v>
      </c>
      <c r="E163" s="11">
        <f t="shared" si="7"/>
        <v>0</v>
      </c>
      <c r="F163" s="11">
        <f t="shared" si="5"/>
        <v>-26000000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123</v>
      </c>
      <c r="E164" s="11">
        <f t="shared" si="7"/>
        <v>1</v>
      </c>
      <c r="F164" s="11">
        <f t="shared" si="5"/>
        <v>55836228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120</v>
      </c>
      <c r="E165" s="11">
        <f t="shared" si="7"/>
        <v>1</v>
      </c>
      <c r="F165" s="11">
        <f t="shared" si="5"/>
        <v>321300000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120</v>
      </c>
      <c r="E166" s="11">
        <f t="shared" si="7"/>
        <v>1</v>
      </c>
      <c r="F166" s="11">
        <f t="shared" si="5"/>
        <v>297500000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113</v>
      </c>
      <c r="E167" s="11">
        <f t="shared" si="7"/>
        <v>0</v>
      </c>
      <c r="F167" s="11">
        <f t="shared" si="5"/>
        <v>-22600000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111</v>
      </c>
      <c r="E168" s="11">
        <f t="shared" si="7"/>
        <v>0</v>
      </c>
      <c r="F168" s="11">
        <f t="shared" si="5"/>
        <v>-22200000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105</v>
      </c>
      <c r="E169" s="11">
        <f t="shared" si="7"/>
        <v>0</v>
      </c>
      <c r="F169" s="11">
        <f t="shared" si="5"/>
        <v>-21000000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102</v>
      </c>
      <c r="E170" s="11">
        <f t="shared" si="7"/>
        <v>0</v>
      </c>
      <c r="F170" s="11">
        <f t="shared" si="5"/>
        <v>-20400000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102</v>
      </c>
      <c r="E171" s="11">
        <f t="shared" si="7"/>
        <v>1</v>
      </c>
      <c r="F171" s="11">
        <f t="shared" si="5"/>
        <v>303000000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99</v>
      </c>
      <c r="E172" s="11">
        <f t="shared" si="7"/>
        <v>0</v>
      </c>
      <c r="F172" s="11">
        <f t="shared" si="5"/>
        <v>-19800000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98</v>
      </c>
      <c r="E173" s="11">
        <f t="shared" si="7"/>
        <v>1</v>
      </c>
      <c r="F173" s="11">
        <f t="shared" si="5"/>
        <v>291000000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97</v>
      </c>
      <c r="E174" s="11">
        <f t="shared" si="7"/>
        <v>1</v>
      </c>
      <c r="F174" s="11">
        <f t="shared" si="5"/>
        <v>192000000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96</v>
      </c>
      <c r="E175" s="11">
        <f t="shared" si="7"/>
        <v>1</v>
      </c>
      <c r="F175" s="11">
        <f t="shared" si="5"/>
        <v>123500000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94</v>
      </c>
      <c r="E176" s="11">
        <f t="shared" si="7"/>
        <v>0</v>
      </c>
      <c r="F176" s="11">
        <f t="shared" si="5"/>
        <v>-18800000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94</v>
      </c>
      <c r="E177" s="11">
        <f t="shared" si="7"/>
        <v>1</v>
      </c>
      <c r="F177" s="11">
        <f t="shared" si="5"/>
        <v>158100000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93</v>
      </c>
      <c r="E178" s="11">
        <f t="shared" si="7"/>
        <v>0</v>
      </c>
      <c r="F178" s="11">
        <f t="shared" si="5"/>
        <v>-18600000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92</v>
      </c>
      <c r="E179" s="11">
        <f t="shared" si="7"/>
        <v>1</v>
      </c>
      <c r="F179" s="11">
        <f t="shared" si="5"/>
        <v>52005772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89</v>
      </c>
      <c r="E180" s="11">
        <f t="shared" si="7"/>
        <v>1</v>
      </c>
      <c r="F180" s="11">
        <f t="shared" si="5"/>
        <v>264000000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82</v>
      </c>
      <c r="E181" s="11">
        <f t="shared" si="7"/>
        <v>1</v>
      </c>
      <c r="F181" s="11">
        <f t="shared" si="5"/>
        <v>162000000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74</v>
      </c>
      <c r="E182" s="11">
        <f t="shared" si="7"/>
        <v>0</v>
      </c>
      <c r="F182" s="11">
        <f t="shared" si="5"/>
        <v>-162851800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62</v>
      </c>
      <c r="E183" s="11">
        <f t="shared" si="7"/>
        <v>1</v>
      </c>
      <c r="F183" s="11">
        <f t="shared" si="5"/>
        <v>41180307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32</v>
      </c>
      <c r="E184" s="11">
        <f t="shared" si="7"/>
        <v>1</v>
      </c>
      <c r="F184" s="11">
        <f t="shared" si="5"/>
        <v>20987000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17</v>
      </c>
      <c r="E185" s="11">
        <f t="shared" si="7"/>
        <v>0</v>
      </c>
      <c r="F185" s="11">
        <f t="shared" si="5"/>
        <v>-170000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12</v>
      </c>
      <c r="E186" s="11">
        <f t="shared" si="7"/>
        <v>0</v>
      </c>
      <c r="F186" s="11">
        <f t="shared" si="5"/>
        <v>-966000000</v>
      </c>
      <c r="G186" s="11" t="s">
        <v>1060</v>
      </c>
    </row>
    <row r="187" spans="1:7" x14ac:dyDescent="0.25">
      <c r="A187" s="11" t="s">
        <v>1059</v>
      </c>
      <c r="B187" s="3">
        <v>-1100000</v>
      </c>
      <c r="C187" s="11">
        <v>0</v>
      </c>
      <c r="D187" s="11">
        <f t="shared" si="8"/>
        <v>7</v>
      </c>
      <c r="E187" s="11">
        <f t="shared" si="7"/>
        <v>0</v>
      </c>
      <c r="F187" s="11">
        <f t="shared" si="5"/>
        <v>-7700000</v>
      </c>
      <c r="G187" s="11" t="s">
        <v>1060</v>
      </c>
    </row>
    <row r="188" spans="1:7" x14ac:dyDescent="0.25">
      <c r="A188" s="11" t="s">
        <v>1059</v>
      </c>
      <c r="B188" s="3">
        <v>3000000</v>
      </c>
      <c r="C188" s="11">
        <v>1</v>
      </c>
      <c r="D188" s="11">
        <f t="shared" si="8"/>
        <v>7</v>
      </c>
      <c r="E188" s="11">
        <f t="shared" si="7"/>
        <v>1</v>
      </c>
      <c r="F188" s="11">
        <f t="shared" si="5"/>
        <v>18000000</v>
      </c>
      <c r="G188" s="11" t="s">
        <v>1071</v>
      </c>
    </row>
    <row r="189" spans="1:7" x14ac:dyDescent="0.25">
      <c r="A189" s="11" t="s">
        <v>1070</v>
      </c>
      <c r="B189" s="3">
        <v>2000000</v>
      </c>
      <c r="C189" s="11">
        <v>0</v>
      </c>
      <c r="D189" s="11">
        <f t="shared" si="8"/>
        <v>6</v>
      </c>
      <c r="E189" s="11">
        <f t="shared" si="7"/>
        <v>1</v>
      </c>
      <c r="F189" s="11">
        <f t="shared" si="5"/>
        <v>10000000</v>
      </c>
      <c r="G189" s="11" t="s">
        <v>1071</v>
      </c>
    </row>
    <row r="190" spans="1:7" x14ac:dyDescent="0.25">
      <c r="A190" s="11" t="s">
        <v>1070</v>
      </c>
      <c r="B190" s="3">
        <v>-5000000</v>
      </c>
      <c r="C190" s="11">
        <v>1</v>
      </c>
      <c r="D190" s="11">
        <f t="shared" si="8"/>
        <v>6</v>
      </c>
      <c r="E190" s="11">
        <f t="shared" si="7"/>
        <v>0</v>
      </c>
      <c r="F190" s="11">
        <f t="shared" si="5"/>
        <v>-30000000</v>
      </c>
      <c r="G190" s="11" t="s">
        <v>1060</v>
      </c>
    </row>
    <row r="191" spans="1:7" x14ac:dyDescent="0.25">
      <c r="A191" s="11" t="s">
        <v>1078</v>
      </c>
      <c r="B191" s="3">
        <v>483248</v>
      </c>
      <c r="C191" s="11">
        <v>4</v>
      </c>
      <c r="D191" s="11">
        <f t="shared" si="8"/>
        <v>5</v>
      </c>
      <c r="E191" s="11">
        <f t="shared" si="7"/>
        <v>1</v>
      </c>
      <c r="F191" s="11">
        <f t="shared" si="5"/>
        <v>1932992</v>
      </c>
      <c r="G191" s="11" t="s">
        <v>1080</v>
      </c>
    </row>
    <row r="192" spans="1:7" x14ac:dyDescent="0.25">
      <c r="A192" s="11" t="s">
        <v>1107</v>
      </c>
      <c r="B192" s="3">
        <v>-115300</v>
      </c>
      <c r="C192" s="11">
        <v>1</v>
      </c>
      <c r="D192" s="11">
        <f t="shared" si="8"/>
        <v>1</v>
      </c>
      <c r="E192" s="11">
        <f t="shared" si="7"/>
        <v>0</v>
      </c>
      <c r="F192" s="11">
        <f t="shared" si="5"/>
        <v>-115300</v>
      </c>
      <c r="G192" s="11" t="s">
        <v>1108</v>
      </c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1984347</v>
      </c>
      <c r="C202" s="11"/>
      <c r="D202" s="11"/>
      <c r="E202" s="11"/>
      <c r="F202" s="29">
        <f>SUM(F2:F200)</f>
        <v>18262924583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27587499.370090634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7" zoomScaleNormal="100" workbookViewId="0">
      <selection activeCell="L24" sqref="L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1109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L27</f>
        <v>90774583.962500006</v>
      </c>
      <c r="G15" s="29">
        <f t="shared" si="0"/>
        <v>2225416.037499994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1984347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104951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529000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7300000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P22" t="s">
        <v>25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فروش'!F81</f>
        <v>183428089.46250001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1050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1051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599</v>
      </c>
      <c r="L27" s="3">
        <f>SUM(L16:L24)</f>
        <v>90774583.962500006</v>
      </c>
      <c r="M27" s="11"/>
      <c r="N27" s="29">
        <f>SUM(N16:N25)</f>
        <v>154208003.5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2" t="s">
        <v>600</v>
      </c>
      <c r="L28" s="3">
        <f>L16+L17+L20</f>
        <v>2618298</v>
      </c>
      <c r="M28" s="11"/>
      <c r="N28" s="29">
        <f>N16+N17+N22</f>
        <v>9936200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K29" s="56" t="s">
        <v>719</v>
      </c>
      <c r="L29" s="1">
        <f>L27+N7</f>
        <v>147774583.96250001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3"/>
      <c r="L34" s="11" t="s">
        <v>305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306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322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1" t="s">
        <v>307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308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309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310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31" t="s">
        <v>311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18" t="s">
        <v>312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313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314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316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317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318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328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319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320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321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323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325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32" t="s">
        <v>315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 t="s">
        <v>479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  <c r="K59" s="2" t="s">
        <v>329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800</v>
      </c>
      <c r="L65" s="48" t="s">
        <v>477</v>
      </c>
    </row>
    <row r="66" spans="1:12" x14ac:dyDescent="0.25">
      <c r="K66" s="48">
        <v>1200000</v>
      </c>
      <c r="L66" s="48" t="s">
        <v>1083</v>
      </c>
    </row>
    <row r="67" spans="1:12" x14ac:dyDescent="0.25">
      <c r="A67" t="s">
        <v>25</v>
      </c>
      <c r="K67" s="47">
        <v>500000</v>
      </c>
      <c r="L67" s="48" t="s">
        <v>480</v>
      </c>
    </row>
    <row r="68" spans="1:12" x14ac:dyDescent="0.25">
      <c r="K68" s="47">
        <v>130000</v>
      </c>
      <c r="L68" s="48" t="s">
        <v>559</v>
      </c>
    </row>
    <row r="69" spans="1:12" x14ac:dyDescent="0.25">
      <c r="K69" s="47">
        <v>300000</v>
      </c>
      <c r="L69" s="48" t="s">
        <v>796</v>
      </c>
    </row>
    <row r="70" spans="1:12" x14ac:dyDescent="0.25">
      <c r="K70" s="47">
        <v>500000</v>
      </c>
      <c r="L70" s="48" t="s">
        <v>797</v>
      </c>
    </row>
    <row r="71" spans="1:12" x14ac:dyDescent="0.25">
      <c r="K71" s="47">
        <v>500000</v>
      </c>
      <c r="L71" s="48" t="s">
        <v>798</v>
      </c>
    </row>
    <row r="72" spans="1:12" x14ac:dyDescent="0.25">
      <c r="K72" s="47">
        <v>75000</v>
      </c>
      <c r="L72" s="48" t="s">
        <v>799</v>
      </c>
    </row>
    <row r="73" spans="1:12" x14ac:dyDescent="0.25">
      <c r="K73" s="47">
        <v>450000</v>
      </c>
      <c r="L73" s="48" t="s">
        <v>801</v>
      </c>
    </row>
    <row r="74" spans="1:12" x14ac:dyDescent="0.25">
      <c r="K74" s="47">
        <v>500000</v>
      </c>
      <c r="L74" s="48" t="s">
        <v>565</v>
      </c>
    </row>
    <row r="75" spans="1:12" x14ac:dyDescent="0.25">
      <c r="K75" s="47">
        <v>50000</v>
      </c>
      <c r="L75" s="48" t="s">
        <v>804</v>
      </c>
    </row>
    <row r="76" spans="1:12" x14ac:dyDescent="0.25">
      <c r="K76" s="47">
        <v>140000</v>
      </c>
      <c r="L76" s="48" t="s">
        <v>315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1078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2018-03-24T14:22:24Z</dcterms:modified>
</cp:coreProperties>
</file>