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V2" i="33" l="1"/>
  <c r="O5" i="33" s="1"/>
  <c r="C32" i="32"/>
  <c r="F29" i="33"/>
  <c r="F28" i="33"/>
  <c r="F27" i="33"/>
  <c r="F26" i="33"/>
  <c r="F2" i="33"/>
  <c r="F25" i="33"/>
  <c r="F24" i="33"/>
  <c r="F23" i="33"/>
  <c r="F22" i="33"/>
  <c r="F21" i="33"/>
  <c r="F20" i="33"/>
  <c r="F19" i="33"/>
  <c r="F18" i="33"/>
  <c r="F17" i="33"/>
  <c r="F15" i="33"/>
  <c r="F14" i="33"/>
  <c r="F13" i="33"/>
  <c r="F12" i="33"/>
  <c r="F11" i="33"/>
  <c r="F10" i="33"/>
  <c r="F9" i="33"/>
  <c r="F8" i="33"/>
  <c r="F7" i="33"/>
  <c r="F6" i="33"/>
  <c r="F5" i="33"/>
  <c r="F4" i="33"/>
  <c r="F16" i="33"/>
  <c r="F3" i="33"/>
  <c r="O44" i="33" l="1"/>
  <c r="O28" i="33"/>
  <c r="O20" i="33"/>
  <c r="O12" i="33"/>
  <c r="O3" i="33"/>
  <c r="O43" i="33"/>
  <c r="O35" i="33"/>
  <c r="O27" i="33"/>
  <c r="O19" i="33"/>
  <c r="O11" i="33"/>
  <c r="O2" i="33"/>
  <c r="Q2" i="33" s="1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P2" i="33" s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C27" i="32"/>
  <c r="C26" i="32"/>
  <c r="M6" i="32"/>
  <c r="J3" i="32"/>
  <c r="J4" i="32"/>
  <c r="M4" i="32" s="1"/>
  <c r="J5" i="32"/>
  <c r="J6" i="32"/>
  <c r="J2" i="32"/>
  <c r="M2" i="32"/>
  <c r="L4" i="32"/>
  <c r="L5" i="32"/>
  <c r="L6" i="32"/>
  <c r="L7" i="32"/>
  <c r="L8" i="32"/>
  <c r="L9" i="32"/>
  <c r="L2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G39" i="32"/>
  <c r="H39" i="32" s="1"/>
  <c r="Q3" i="33" l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C30" i="32"/>
  <c r="N5" i="32"/>
  <c r="N21" i="18"/>
  <c r="L25" i="18"/>
  <c r="N11" i="18"/>
  <c r="V14" i="18"/>
  <c r="O11" i="18"/>
  <c r="N10" i="18"/>
  <c r="C16" i="18"/>
  <c r="D185" i="15" l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F201" i="15" l="1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6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6" i="18" l="1"/>
  <c r="E33" i="13"/>
  <c r="G34" i="13"/>
  <c r="I97" i="20"/>
  <c r="K97" i="20"/>
  <c r="J97" i="20"/>
  <c r="F108" i="15"/>
  <c r="C20" i="18"/>
  <c r="E19" i="14"/>
  <c r="G20" i="14"/>
  <c r="G21" i="14"/>
  <c r="F14" i="18" l="1"/>
  <c r="L2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<sst xmlns="http://schemas.openxmlformats.org/spreadsheetml/2006/main" count="2421" uniqueCount="1054">
  <si>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</si>
  <si>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</si>
  <si>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</si>
  <si>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</si>
  <si>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</si>
  <si>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</si>
  <si>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</si>
  <si>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</si>
  <si>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</si>
  <si>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</si>
  <si>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</si>
  <si>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</si>
  <si>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</si>
  <si>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</si>
  <si>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</si>
  <si>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</si>
  <si>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</si>
  <si>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</si>
  <si>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</si>
  <si>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</si>
  <si>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</si>
  <si>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</si>
  <si>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</si>
  <si>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</si>
  <si>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</si>
  <si>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</si>
  <si>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</si>
  <si>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</si>
  <si>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</si>
  <si>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</si>
  <si>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</si>
  <si>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</si>
  <si>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</si>
  <si>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</si>
  <si>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</si>
  <si>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</si>
  <si>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</si>
  <si>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</si>
  <si>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</si>
  <si>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</si>
  <si>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</si>
  <si>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</si>
  <si>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</si>
  <si>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</si>
  <si>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</si>
  <si>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</si>
  <si>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</si>
  <si>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</si>
  <si>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</si>
  <si>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</si>
  <si>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</si>
  <si>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</si>
  <si>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</si>
  <si>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</si>
  <si>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</si>
  <si>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</si>
  <si>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</si>
  <si>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</si>
  <si>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</si>
  <si>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</si>
  <si>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</si>
  <si>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</si>
  <si>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</si>
  <si>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</si>
  <si>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</si>
  <si>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</si>
  <si>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</si>
  <si>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</si>
  <si>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</si>
  <si>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</si>
  <si>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</si>
  <si>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</si>
  <si>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</si>
  <si>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</si>
  <si>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</si>
  <si>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</si>
  <si>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</si>
  <si>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</si>
  <si>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</si>
  <si>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</si>
  <si>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</si>
  <si>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</si>
  <si>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</si>
  <si>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</si>
  <si>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</si>
  <si>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</si>
  <si>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</si>
  <si>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</si>
  <si>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</si>
  <si>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</si>
  <si>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</si>
  <si>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</si>
  <si>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</si>
  <si>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</si>
  <si>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</si>
  <si>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</si>
  <si>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</si>
  <si>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</si>
  <si>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</si>
  <si>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</si>
  <si>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</si>
  <si>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</si>
  <si>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</si>
  <si>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</si>
  <si>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</si>
  <si>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</si>
  <si>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</si>
  <si>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</si>
  <si>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</si>
  <si>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</si>
  <si>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</si>
  <si>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</si>
  <si>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</si>
  <si>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</si>
  <si>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</si>
  <si>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</si>
  <si>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</si>
  <si>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</si>
  <si>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</si>
  <si>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</si>
  <si>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</si>
  <si>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</si>
  <si>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</si>
  <si>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</si>
  <si>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</si>
  <si>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</si>
  <si>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</si>
  <si>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</si>
  <si>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</si>
  <si>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</si>
  <si>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</si>
  <si>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</si>
  <si>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</si>
  <si>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</si>
  <si>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</si>
  <si>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</si>
  <si>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</si>
  <si>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</si>
  <si>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</si>
  <si>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</si>
  <si>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</si>
  <si>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</si>
  <si>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</si>
  <si>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</si>
  <si>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</si>
  <si>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</si>
  <si>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</si>
  <si>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</si>
  <si>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</si>
  <si>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</si>
  <si>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</si>
  <si>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</si>
  <si>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</si>
  <si>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</si>
  <si>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</si>
  <si>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</si>
  <si>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</si>
  <si>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</si>
  <si>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</si>
  <si>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</si>
  <si>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</si>
  <si>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</si>
  <si>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</si>
  <si>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</si>
  <si>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</si>
  <si>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</si>
  <si>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</si>
  <si>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</si>
  <si>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</si>
  <si>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</si>
  <si>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</si>
  <si>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</si>
  <si>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</si>
  <si>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</si>
  <si>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</si>
  <si>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</si>
  <si>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</si>
  <si>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</si>
  <si>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</si>
  <si>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</si>
  <si>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</si>
  <si>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</si>
  <si>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</si>
  <si>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</si>
  <si>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</si>
  <si>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</si>
  <si>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</si>
  <si>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</si>
  <si>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</si>
  <si>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</si>
  <si>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</si>
  <si>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</si>
  <si>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</si>
  <si>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</si>
  <si>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</si>
  <si>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</si>
  <si>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</si>
  <si>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</si>
  <si>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</si>
  <si>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</si>
  <si>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</si>
  <si>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</si>
  <si>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</si>
  <si>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</si>
  <si>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</si>
  <si>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</si>
  <si>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</si>
  <si>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</si>
  <si>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</si>
  <si>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</si>
  <si>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</si>
  <si>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</si>
  <si>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</si>
  <si>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</si>
  <si>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</si>
  <si>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</si>
  <si>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</si>
  <si>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</si>
  <si>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</si>
  <si>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</si>
  <si>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</si>
  <si>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</si>
  <si>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</si>
  <si>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</si>
  <si>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</si>
  <si>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</si>
  <si>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</si>
  <si>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</si>
  <si>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</si>
  <si>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</si>
  <si>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</si>
  <si>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</si>
  <si>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</si>
  <si>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</si>
  <si>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</si>
  <si>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</si>
  <si>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</si>
  <si>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</si>
  <si>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</si>
  <si>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</si>
  <si>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</si>
  <si>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</si>
  <si>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</si>
  <si>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</si>
  <si>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</si>
  <si>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</si>
  <si>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</si>
  <si>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</si>
  <si>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</si>
  <si>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</si>
  <si>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</si>
  <si>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</si>
  <si>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</si>
  <si>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</si>
  <si>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</si>
  <si>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</si>
  <si>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</si>
  <si>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</si>
  <si>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</si>
  <si>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</si>
  <si>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</si>
  <si>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</si>
  <si>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</si>
  <si>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</si>
  <si>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</si>
  <si>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</si>
  <si>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</si>
  <si>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</si>
  <si>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</si>
  <si>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</si>
  <si>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</si>
  <si>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</si>
  <si>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</si>
  <si>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</si>
  <si>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</si>
  <si>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</si>
  <si>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</si>
  <si>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</si>
  <si>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</si>
  <si>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</si>
  <si>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</si>
  <si>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</si>
  <si>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</si>
  <si>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</si>
  <si>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</si>
  <si>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</si>
  <si>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</si>
  <si>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</si>
  <si>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</si>
  <si>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</si>
  <si>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</si>
  <si>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</si>
  <si>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</si>
  <si>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</si>
  <si>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</si>
  <si>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</si>
  <si>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</si>
  <si>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</si>
  <si>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</si>
  <si>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</si>
  <si>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</si>
  <si>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</si>
  <si>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</si>
  <si>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</si>
  <si>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</si>
  <si>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</si>
  <si>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</si>
  <si>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</si>
  <si>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</si>
  <si>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</si>
  <si>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</si>
  <si>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</si>
  <si>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</si>
  <si>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</si>
  <si>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</si>
  <si>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</si>
  <si>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</si>
  <si>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</si>
  <si>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</si>
  <si>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</si>
  <si>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</si>
  <si>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</si>
  <si>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</si>
  <si>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</si>
  <si>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</si>
  <si>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</si>
  <si>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</si>
  <si>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</si>
  <si>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</si>
  <si>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</si>
  <si>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</si>
  <si>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</si>
  <si>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</si>
  <si>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</si>
  <si>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</si>
  <si>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</si>
  <si>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</si>
  <si>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</si>
  <si>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</si>
  <si>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</si>
  <si>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</si>
  <si>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</si>
  <si>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</si>
  <si>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</si>
  <si>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</si>
  <si>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</si>
  <si>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</si>
  <si>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</si>
  <si>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</si>
  <si>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</si>
  <si>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</si>
  <si>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</si>
  <si>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</si>
  <si>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</si>
  <si>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</si>
  <si>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</si>
  <si>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</si>
  <si>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</si>
  <si>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</si>
  <si>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</si>
  <si>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</si>
  <si>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</si>
  <si>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</si>
  <si>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</si>
  <si>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</si>
  <si>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</si>
  <si>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</si>
  <si>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</si>
  <si>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</si>
  <si>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</si>
  <si>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</si>
  <si>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</si>
  <si>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</si>
  <si>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</si>
  <si>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</si>
  <si>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</si>
  <si>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</si>
  <si>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</si>
  <si>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</si>
  <si>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</si>
  <si>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</si>
  <si>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</si>
  <si>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</si>
  <si>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</si>
  <si>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</si>
  <si>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</si>
  <si>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</si>
  <si>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</si>
  <si>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</si>
  <si>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</si>
  <si>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</si>
  <si>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</si>
  <si>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</si>
  <si>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</si>
  <si>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</si>
  <si>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</si>
  <si>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</si>
  <si>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</si>
  <si>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</si>
  <si>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</si>
  <si>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</si>
  <si>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</si>
  <si>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</si>
  <si>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</si>
  <si>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</si>
  <si>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</si>
  <si>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</si>
  <si>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</si>
  <si>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</si>
  <si>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</si>
  <si>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</si>
  <si>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</si>
  <si>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</si>
  <si>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</si>
  <si>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</si>
  <si>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</si>
  <si>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</si>
  <si>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</si>
  <si>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</si>
  <si>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</si>
  <si>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</si>
  <si>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</si>
  <si>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</si>
  <si>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</si>
  <si>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</si>
  <si>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</si>
  <si>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</si>
  <si>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</si>
  <si>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</si>
  <si>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</si>
  <si>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</si>
  <si>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</si>
  <si>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</si>
  <si>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</si>
  <si>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</si>
  <si>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</si>
  <si>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</si>
  <si>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</si>
  <si>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</si>
  <si>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</si>
  <si>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</si>
  <si>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</si>
  <si>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</si>
  <si>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</si>
  <si>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</si>
  <si>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</si>
  <si>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</si>
  <si>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</si>
  <si>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</si>
  <si>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</si>
  <si>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</si>
  <si>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</si>
  <si>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</si>
  <si>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</si>
  <si>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</si>
  <si>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</si>
  <si>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</si>
  <si>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</si>
  <si>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</si>
  <si>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</si>
  <si>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</si>
  <si>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</si>
  <si>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</si>
  <si>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</si>
  <si>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</si>
  <si>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</si>
  <si>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</si>
  <si>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</si>
  <si>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</si>
  <si>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</si>
  <si>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</si>
  <si>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</si>
  <si>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</si>
  <si>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</si>
  <si>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</si>
  <si>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</si>
  <si>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</si>
  <si>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</si>
  <si>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</si>
  <si>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</si>
  <si>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</si>
  <si>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</si>
  <si>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</si>
  <si>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</si>
  <si>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</si>
  <si>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</si>
  <si>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</si>
  <si>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</si>
  <si>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</si>
  <si>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</si>
  <si>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</si>
  <si>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</si>
  <si>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</si>
  <si>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</si>
  <si>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</si>
  <si>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</si>
  <si>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</si>
  <si>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</si>
  <si>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</si>
  <si>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</si>
  <si>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</si>
  <si>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</si>
  <si>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</si>
  <si>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</si>
  <si>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</si>
  <si>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</si>
  <si>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</si>
  <si>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</si>
  <si>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</si>
  <si>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</si>
  <si>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</si>
  <si>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</si>
  <si>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</si>
  <si>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</si>
  <si>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</si>
  <si>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</si>
  <si>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</si>
  <si>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</si>
  <si>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</si>
  <si>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</si>
  <si>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</si>
  <si>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</si>
  <si>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</si>
  <si>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</si>
  <si>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</si>
  <si>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</si>
  <si>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</si>
  <si>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</si>
  <si>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</si>
  <si>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</si>
  <si>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</si>
  <si>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</si>
  <si>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</si>
  <si>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</si>
  <si>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</si>
  <si>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</si>
  <si>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</si>
  <si>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</si>
  <si>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</si>
  <si>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</si>
  <si>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</si>
  <si>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</si>
  <si>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</si>
  <si>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</si>
  <si>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</si>
  <si>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</si>
  <si>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</si>
  <si>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</si>
  <si>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</si>
  <si>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</si>
  <si>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</si>
  <si>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</si>
  <si>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</si>
  <si>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</si>
  <si>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</si>
  <si>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</si>
  <si>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</si>
  <si>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</si>
  <si>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</si>
  <si>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</si>
  <si>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</si>
  <si>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</si>
  <si>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</si>
  <si>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</si>
  <si>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</si>
  <si>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</si>
  <si>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</si>
  <si>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</si>
  <si>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</si>
  <si>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</si>
  <si>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</si>
  <si>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</si>
  <si>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</si>
  <si>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</si>
  <si>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</si>
  <si>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</si>
  <si>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</si>
  <si>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</si>
  <si>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</si>
  <si>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</si>
  <si>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</si>
  <si>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</si>
  <si>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</si>
  <si>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</si>
  <si>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</si>
  <si>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</si>
  <si>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</si>
  <si>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</si>
  <si>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</si>
  <si>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</si>
  <si>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</si>
  <si>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</si>
  <si>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</si>
  <si>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</si>
  <si>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</si>
  <si>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</si>
  <si>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</si>
  <si>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</si>
  <si>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</si>
  <si>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</si>
  <si>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</si>
  <si>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</si>
  <si>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</si>
  <si>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</si>
  <si>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</si>
  <si>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</si>
  <si>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</si>
  <si>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</si>
  <si>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</si>
  <si>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</si>
  <si>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</si>
  <si>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</si>
  <si>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</si>
  <si>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</si>
  <si>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</si>
  <si>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</si>
  <si>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</si>
  <si>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</si>
  <si>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</si>
  <si>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</si>
  <si>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</si>
  <si>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</si>
  <si>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</si>
  <si>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</si>
  <si>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</si>
  <si>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</si>
  <si>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</si>
  <si>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</si>
  <si>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</si>
  <si>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</si>
  <si>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</si>
  <si>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</si>
  <si>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</si>
  <si>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</si>
  <si>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</si>
  <si>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</si>
  <si>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</si>
  <si>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</si>
  <si>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</si>
  <si>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</si>
  <si>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</si>
  <si>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</si>
  <si>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</si>
  <si>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</si>
  <si>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</si>
  <si>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</si>
  <si>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</si>
  <si>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</si>
  <si>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</si>
  <si>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</si>
  <si>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</si>
  <si>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</si>
  <si>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</si>
  <si>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</si>
  <si>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</si>
  <si>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</si>
  <si>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</si>
  <si>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</si>
  <si>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</si>
  <si>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</si>
  <si>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</si>
  <si>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</si>
  <si>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</si>
  <si>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</si>
  <si>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</si>
  <si>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</si>
  <si>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</si>
  <si>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</si>
  <si>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</si>
  <si>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</si>
  <si>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</si>
  <si>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</si>
  <si>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</si>
  <si>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</si>
  <si>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</si>
  <si>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</si>
  <si>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</si>
  <si>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</si>
  <si>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</si>
  <si>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</si>
  <si>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</si>
  <si>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</si>
  <si>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</si>
  <si>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</si>
  <si>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</si>
  <si>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</si>
  <si>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</si>
  <si>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</si>
  <si>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</si>
  <si>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</si>
  <si>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</si>
  <si>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</si>
  <si>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</si>
  <si>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</si>
  <si>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</si>
  <si>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</si>
  <si>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</si>
  <si>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</si>
  <si>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</si>
  <si>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</si>
  <si>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</si>
  <si>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</si>
  <si>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</si>
  <si>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</si>
  <si>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</si>
  <si>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</si>
  <si>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</si>
  <si>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</si>
  <si>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</si>
  <si>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</si>
  <si>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</si>
  <si>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</si>
  <si>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</si>
  <si>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</si>
  <si>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</si>
  <si>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</si>
  <si>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</si>
  <si>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</si>
  <si>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</si>
  <si>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</si>
  <si>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</si>
  <si>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</si>
  <si>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</si>
  <si>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</si>
  <si>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</si>
  <si>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</si>
  <si>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</si>
  <si>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</si>
  <si>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</si>
  <si>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</si>
  <si>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</si>
  <si>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</si>
  <si>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</si>
  <si>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</si>
  <si>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</si>
  <si>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</si>
  <si>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</si>
  <si>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</si>
  <si>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</si>
  <si>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</si>
  <si>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</si>
  <si>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</si>
  <si>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</si>
  <si>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</si>
  <si>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</si>
  <si>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</si>
  <si>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</si>
  <si>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</si>
  <si>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</si>
  <si>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</si>
  <si>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</si>
  <si>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</si>
  <si>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</si>
  <si>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</si>
  <si>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</si>
  <si>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</si>
  <si>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</si>
  <si>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</si>
  <si>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</si>
  <si>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</si>
  <si>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</si>
  <si>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</si>
  <si>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</si>
  <si>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</si>
  <si>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</si>
  <si>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</si>
  <si>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</si>
  <si>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</si>
  <si>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</si>
  <si>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</si>
  <si>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</si>
  <si>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</si>
  <si>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</si>
  <si>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</si>
  <si>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</si>
  <si>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</si>
  <si>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</si>
  <si>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</si>
  <si>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</si>
  <si>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</si>
  <si>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</si>
  <si>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</si>
  <si>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</si>
  <si>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</si>
  <si>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</si>
  <si>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</si>
  <si>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</si>
  <si>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</si>
  <si>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</si>
  <si>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</si>
  <si>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</si>
  <si>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</si>
  <si>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</si>
  <si>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</si>
  <si>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</si>
  <si>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</si>
  <si>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</si>
  <si>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</si>
  <si>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</si>
  <si>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</si>
  <si>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</si>
  <si>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</si>
  <si>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</si>
  <si>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</si>
  <si>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</si>
  <si>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</si>
  <si>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</si>
  <si>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</si>
  <si>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</si>
  <si>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</si>
  <si>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</si>
  <si>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</si>
  <si>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</si>
  <si>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</si>
  <si>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</si>
  <si>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</si>
  <si>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</si>
  <si>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</si>
  <si>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</si>
  <si>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</si>
  <si>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</si>
  <si>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</si>
  <si>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</si>
  <si>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</si>
  <si>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</si>
  <si>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</si>
  <si>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</si>
  <si>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</si>
  <si>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</si>
  <si>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</si>
  <si>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</si>
  <si>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</si>
  <si>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</si>
  <si>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</si>
  <si>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</si>
  <si>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</si>
  <si>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</si>
  <si>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</si>
  <si>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</si>
  <si>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</si>
  <si>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</si>
  <si>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</si>
  <si>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</si>
  <si>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</si>
  <si>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</si>
  <si>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</si>
  <si>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</si>
  <si>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</si>
  <si>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</si>
  <si>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</si>
  <si>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</si>
  <si>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</si>
  <si>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</si>
  <si>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</si>
  <si>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</si>
  <si>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</si>
  <si>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</si>
  <si>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</si>
  <si>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</si>
  <si>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</si>
  <si>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</si>
  <si>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</si>
  <si>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</si>
  <si>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</si>
  <si>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</si>
  <si>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</si>
  <si>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</si>
  <si>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</si>
  <si>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</si>
  <si>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</si>
  <si>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</si>
  <si>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</si>
  <si>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</si>
  <si>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</si>
  <si>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</si>
  <si>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</si>
  <si>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</si>
  <si>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</si>
  <si>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</si>
  <si>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</si>
  <si>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</si>
  <si>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</si>
  <si>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</si>
  <si>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</si>
  <si>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</si>
  <si>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</si>
  <si>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</si>
  <si>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</si>
  <si>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</si>
  <si>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</si>
  <si>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</si>
  <si>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</si>
  <si>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</si>
  <si>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</si>
  <si>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</si>
  <si>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</si>
  <si>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</si>
  <si>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</si>
  <si>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</si>
  <si>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</si>
  <si>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</si>
  <si>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</si>
  <si>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</si>
  <si>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</si>
  <si>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</si>
  <si>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</si>
  <si>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</si>
  <si>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</si>
  <si>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</si>
  <si>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</si>
  <si>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</si>
  <si>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</si>
  <si>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</si>
  <si>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</si>
  <si>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</si>
  <si>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</si>
  <si>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</si>
  <si>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</si>
  <si>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</si>
  <si>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</si>
  <si>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</si>
  <si>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</si>
  <si>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</si>
  <si>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</si>
  <si>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</si>
  <si>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</si>
  <si>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</si>
  <si>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</si>
  <si>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</si>
  <si>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</si>
  <si>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</si>
  <si>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</si>
  <si>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</si>
  <si>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</si>
  <si>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</si>
  <si>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</si>
  <si>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</si>
  <si>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</si>
  <si>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</si>
  <si>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</si>
  <si>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</si>
  <si>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</si>
  <si>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</si>
  <si>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</si>
  <si>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</si>
  <si>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</si>
  <si>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</si>
  <si>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</si>
  <si>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</si>
  <si>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</si>
  <si>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</si>
  <si>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</si>
  <si>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</si>
  <si>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</si>
  <si>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</si>
  <si>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</si>
  <si>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</si>
  <si>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</si>
  <si>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</si>
  <si>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</si>
  <si>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</si>
  <si>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</si>
  <si>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</si>
  <si>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</si>
  <si>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</si>
  <si>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</si>
  <si>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</si>
  <si>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</si>
  <si>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</si>
  <si>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نرخ سود سالیانه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</si>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</sst>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4" sqref="E34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6786922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zoomScaleNormal="100" workbookViewId="0">
      <pane ySplit="1" topLeftCell="A110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6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933</v>
      </c>
      <c r="B103" s="38">
        <v>-10000</v>
      </c>
      <c r="C103" s="74" t="s">
        <v>939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941</v>
      </c>
      <c r="B104" s="38">
        <v>1999000</v>
      </c>
      <c r="C104" s="74" t="s">
        <v>942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874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10" workbookViewId="0">
      <selection activeCell="G30" sqref="G30"/>
    </sheetView>
  </sheetViews>
  <sheetFormatPr defaultRowHeight="15" x14ac:dyDescent="0.25"/>
  <cols>
    <col min="2" max="2" width="17.85546875" bestFit="1" customWidth="1"/>
    <col min="3" max="3" width="18.140625" customWidth="1"/>
    <col min="4" max="4" width="9.85546875" bestFit="1" customWidth="1"/>
    <col min="5" max="5" width="9.85546875" customWidth="1"/>
    <col min="6" max="6" width="18.7109375" customWidth="1"/>
    <col min="7" max="7" width="15.140625" bestFit="1" customWidth="1"/>
    <col min="8" max="9" width="15.140625" customWidth="1"/>
    <col min="10" max="10" width="23.42578125" customWidth="1"/>
    <col min="11" max="11" width="18.140625" customWidth="1"/>
    <col min="12" max="12" width="14.140625" bestFit="1" customWidth="1"/>
    <col min="13" max="13" width="16.85546875" bestFit="1" customWidth="1"/>
    <col min="14" max="14" width="14.7109375" customWidth="1"/>
    <col min="15" max="16" width="37" bestFit="1" customWidth="1"/>
    <col min="17" max="17" width="11.42578125" bestFit="1" customWidth="1"/>
    <col min="21" max="21" width="11.42578125" bestFit="1" customWidth="1"/>
    <col min="23" max="23" width="35.140625" customWidth="1"/>
  </cols>
  <sheetData>
    <row r="1" spans="1:21" x14ac:dyDescent="0.25">
      <c r="A1" s="11" t="s">
        <v>961</v>
      </c>
      <c r="B1" s="11" t="s">
        <v>967</v>
      </c>
      <c r="C1" s="11" t="s">
        <v>964</v>
      </c>
      <c r="D1" s="11" t="s">
        <v>965</v>
      </c>
      <c r="E1" s="11" t="s">
        <v>978</v>
      </c>
      <c r="F1" s="11" t="s">
        <v>980</v>
      </c>
      <c r="G1" s="11" t="s">
        <v>968</v>
      </c>
      <c r="H1" s="11" t="s">
        <v>183</v>
      </c>
      <c r="I1" s="11" t="s">
        <v>985</v>
      </c>
      <c r="J1" s="11" t="s">
        <v>974</v>
      </c>
      <c r="K1" s="11" t="s">
        <v>981</v>
      </c>
      <c r="L1" s="11" t="s">
        <v>982</v>
      </c>
      <c r="M1" s="11" t="s">
        <v>975</v>
      </c>
      <c r="N1" s="11" t="s">
        <v>983</v>
      </c>
      <c r="O1" s="11" t="s">
        <v>8</v>
      </c>
      <c r="P1" s="11" t="s">
        <v>987</v>
      </c>
    </row>
    <row r="2" spans="1:21" x14ac:dyDescent="0.25">
      <c r="A2" s="11">
        <v>1</v>
      </c>
      <c r="B2" s="11" t="s">
        <v>952</v>
      </c>
      <c r="C2" s="11" t="s">
        <v>966</v>
      </c>
      <c r="D2" s="11">
        <v>500</v>
      </c>
      <c r="E2" s="11" t="s">
        <v>61</v>
      </c>
      <c r="F2" s="3">
        <v>80100</v>
      </c>
      <c r="G2" s="3">
        <v>40079086</v>
      </c>
      <c r="H2" s="11">
        <v>2</v>
      </c>
      <c r="I2" s="11">
        <v>0</v>
      </c>
      <c r="J2" s="3">
        <f>G2*H2*($H$37-I2)/(36500)</f>
        <v>52706.74323287671</v>
      </c>
      <c r="K2" s="20">
        <v>7.2499999999999995E-2</v>
      </c>
      <c r="L2" s="3">
        <f>D2*F2*K2/100</f>
        <v>29036.25</v>
      </c>
      <c r="M2" s="11">
        <f>(F2*(1+K2/100)+J2/D2)/(1-K2/100)</f>
        <v>80321.719232909614</v>
      </c>
      <c r="N2" s="11"/>
      <c r="O2" s="11"/>
      <c r="P2" s="3">
        <v>80200</v>
      </c>
    </row>
    <row r="3" spans="1:21" x14ac:dyDescent="0.25">
      <c r="A3" s="11"/>
      <c r="B3" s="11"/>
      <c r="C3" s="11"/>
      <c r="D3" s="11"/>
      <c r="E3" s="11"/>
      <c r="F3" s="3"/>
      <c r="G3" s="3"/>
      <c r="H3" s="11"/>
      <c r="I3" s="11"/>
      <c r="J3" s="3">
        <f t="shared" ref="J3:J6" si="0">G3*H3*($H$37-I3)/(36500)</f>
        <v>0</v>
      </c>
      <c r="K3" s="20">
        <v>7.2499999999999995E-2</v>
      </c>
      <c r="L3" s="3"/>
      <c r="M3" s="11"/>
      <c r="N3" s="11"/>
      <c r="O3" s="11"/>
      <c r="P3" s="11"/>
      <c r="U3" s="26"/>
    </row>
    <row r="4" spans="1:21" x14ac:dyDescent="0.25">
      <c r="A4" s="77">
        <v>2</v>
      </c>
      <c r="B4" s="77" t="s">
        <v>952</v>
      </c>
      <c r="C4" s="77" t="s">
        <v>976</v>
      </c>
      <c r="D4" s="77">
        <v>400</v>
      </c>
      <c r="E4" s="77" t="s">
        <v>61</v>
      </c>
      <c r="F4" s="78">
        <v>96959</v>
      </c>
      <c r="G4" s="78">
        <v>39275391</v>
      </c>
      <c r="H4" s="77">
        <v>0</v>
      </c>
      <c r="I4" s="77">
        <v>21</v>
      </c>
      <c r="J4" s="77">
        <f t="shared" si="0"/>
        <v>0</v>
      </c>
      <c r="K4" s="77">
        <v>7.2499999999999995E-2</v>
      </c>
      <c r="L4" s="78">
        <f t="shared" ref="L4:L9" si="1">D4*F4*K4/100</f>
        <v>28118.11</v>
      </c>
      <c r="M4" s="77">
        <f>(F4*(1+K4/100)+J4/D4)/(1-K4/100)</f>
        <v>97099.692552100285</v>
      </c>
      <c r="N4" s="77"/>
      <c r="O4" s="77" t="s">
        <v>977</v>
      </c>
      <c r="P4" s="77"/>
    </row>
    <row r="5" spans="1:21" x14ac:dyDescent="0.25">
      <c r="A5" s="77">
        <v>3</v>
      </c>
      <c r="B5" s="77" t="s">
        <v>952</v>
      </c>
      <c r="C5" s="77" t="s">
        <v>976</v>
      </c>
      <c r="D5" s="77">
        <v>400</v>
      </c>
      <c r="E5" s="77" t="s">
        <v>979</v>
      </c>
      <c r="F5" s="78">
        <v>99999</v>
      </c>
      <c r="G5" s="78">
        <v>40434473</v>
      </c>
      <c r="H5" s="77"/>
      <c r="I5" s="77">
        <v>21</v>
      </c>
      <c r="J5" s="77">
        <f t="shared" si="0"/>
        <v>0</v>
      </c>
      <c r="K5" s="77">
        <v>7.2499999999999995E-2</v>
      </c>
      <c r="L5" s="78">
        <f t="shared" si="1"/>
        <v>28999.71</v>
      </c>
      <c r="M5" s="77"/>
      <c r="N5" s="79">
        <f>G5-G4-J4</f>
        <v>1159082</v>
      </c>
      <c r="O5" s="77" t="s">
        <v>986</v>
      </c>
      <c r="P5" s="77"/>
    </row>
    <row r="6" spans="1:21" x14ac:dyDescent="0.25">
      <c r="A6" s="11">
        <v>4</v>
      </c>
      <c r="B6" s="11" t="s">
        <v>962</v>
      </c>
      <c r="C6" s="11" t="s">
        <v>984</v>
      </c>
      <c r="D6" s="11">
        <v>400</v>
      </c>
      <c r="E6" s="11" t="s">
        <v>61</v>
      </c>
      <c r="F6" s="3">
        <v>97219</v>
      </c>
      <c r="G6" s="3">
        <v>38938471</v>
      </c>
      <c r="H6" s="11">
        <v>3</v>
      </c>
      <c r="I6" s="11">
        <v>21</v>
      </c>
      <c r="J6" s="3">
        <f t="shared" si="0"/>
        <v>9601.2668219178086</v>
      </c>
      <c r="K6" s="20">
        <v>7.2499999999999995E-2</v>
      </c>
      <c r="L6" s="3">
        <f t="shared" si="1"/>
        <v>28193.51</v>
      </c>
      <c r="M6" s="11">
        <f>(F6*(1+K6/100)+J6/D6)/(1-K6/100)</f>
        <v>97384.090407600321</v>
      </c>
      <c r="N6" s="11"/>
      <c r="O6" s="11"/>
      <c r="P6" s="3">
        <v>99800</v>
      </c>
    </row>
    <row r="7" spans="1:21" x14ac:dyDescent="0.25">
      <c r="A7" s="11"/>
      <c r="B7" s="11"/>
      <c r="C7" s="11"/>
      <c r="D7" s="11"/>
      <c r="E7" s="11"/>
      <c r="F7" s="3"/>
      <c r="G7" s="3"/>
      <c r="H7" s="11"/>
      <c r="I7" s="11"/>
      <c r="J7" s="3">
        <f t="shared" ref="J7:J18" si="2">G7*H7*$H$37/(36500)</f>
        <v>0</v>
      </c>
      <c r="K7" s="11"/>
      <c r="L7" s="3">
        <f t="shared" si="1"/>
        <v>0</v>
      </c>
      <c r="M7" s="11"/>
      <c r="N7" s="11"/>
      <c r="O7" s="11"/>
      <c r="P7" s="11"/>
    </row>
    <row r="8" spans="1:21" x14ac:dyDescent="0.25">
      <c r="A8" s="11"/>
      <c r="B8" s="11"/>
      <c r="C8" s="11"/>
      <c r="D8" s="11"/>
      <c r="E8" s="11"/>
      <c r="F8" s="3"/>
      <c r="G8" s="3"/>
      <c r="H8" s="11"/>
      <c r="I8" s="11"/>
      <c r="J8" s="3">
        <f t="shared" si="2"/>
        <v>0</v>
      </c>
      <c r="K8" s="11"/>
      <c r="L8" s="3">
        <f t="shared" si="1"/>
        <v>0</v>
      </c>
      <c r="M8" s="11"/>
      <c r="N8" s="11"/>
      <c r="O8" s="11"/>
      <c r="P8" s="11"/>
    </row>
    <row r="9" spans="1:21" x14ac:dyDescent="0.25">
      <c r="A9" s="11"/>
      <c r="B9" s="11"/>
      <c r="C9" s="11"/>
      <c r="D9" s="11"/>
      <c r="E9" s="11"/>
      <c r="F9" s="3"/>
      <c r="G9" s="3"/>
      <c r="H9" s="11"/>
      <c r="I9" s="11"/>
      <c r="J9" s="3">
        <f t="shared" si="2"/>
        <v>0</v>
      </c>
      <c r="K9" s="11"/>
      <c r="L9" s="3">
        <f t="shared" si="1"/>
        <v>0</v>
      </c>
      <c r="M9" s="11"/>
      <c r="N9" s="11"/>
      <c r="O9" s="11"/>
      <c r="P9" s="11"/>
    </row>
    <row r="10" spans="1:21" x14ac:dyDescent="0.25">
      <c r="A10" s="11"/>
      <c r="B10" s="11"/>
      <c r="C10" s="11"/>
      <c r="D10" s="11"/>
      <c r="E10" s="11"/>
      <c r="F10" s="3"/>
      <c r="G10" s="3"/>
      <c r="H10" s="11"/>
      <c r="I10" s="11"/>
      <c r="J10" s="3">
        <f t="shared" si="2"/>
        <v>0</v>
      </c>
      <c r="K10" s="11"/>
      <c r="L10" s="11"/>
      <c r="M10" s="11"/>
      <c r="N10" s="11"/>
      <c r="O10" s="11"/>
      <c r="P10" s="11"/>
    </row>
    <row r="11" spans="1:21" x14ac:dyDescent="0.25">
      <c r="A11" s="11"/>
      <c r="B11" s="11"/>
      <c r="C11" s="11"/>
      <c r="D11" s="11"/>
      <c r="E11" s="11"/>
      <c r="F11" s="3"/>
      <c r="G11" s="3"/>
      <c r="H11" s="11"/>
      <c r="I11" s="11"/>
      <c r="J11" s="3">
        <f t="shared" si="2"/>
        <v>0</v>
      </c>
      <c r="K11" s="11"/>
      <c r="L11" s="11"/>
      <c r="M11" s="11"/>
      <c r="N11" s="11"/>
      <c r="O11" s="11"/>
      <c r="P11" s="11"/>
    </row>
    <row r="12" spans="1:21" x14ac:dyDescent="0.25">
      <c r="A12" s="11"/>
      <c r="B12" s="11"/>
      <c r="C12" s="11"/>
      <c r="D12" s="11"/>
      <c r="E12" s="11"/>
      <c r="F12" s="3"/>
      <c r="G12" s="3"/>
      <c r="H12" s="11"/>
      <c r="I12" s="11"/>
      <c r="J12" s="3">
        <f t="shared" si="2"/>
        <v>0</v>
      </c>
      <c r="K12" s="11"/>
      <c r="L12" s="11"/>
      <c r="M12" s="11"/>
      <c r="N12" s="11"/>
      <c r="O12" s="11"/>
      <c r="P12" s="11"/>
    </row>
    <row r="13" spans="1:21" x14ac:dyDescent="0.25">
      <c r="A13" s="11"/>
      <c r="B13" s="11"/>
      <c r="C13" s="11"/>
      <c r="D13" s="11"/>
      <c r="E13" s="11"/>
      <c r="F13" s="3"/>
      <c r="G13" s="3"/>
      <c r="H13" s="11"/>
      <c r="I13" s="11"/>
      <c r="J13" s="3">
        <f t="shared" si="2"/>
        <v>0</v>
      </c>
      <c r="K13" s="11"/>
      <c r="L13" s="11"/>
      <c r="M13" s="11"/>
      <c r="N13" s="11"/>
      <c r="O13" s="11"/>
      <c r="P13" s="11"/>
    </row>
    <row r="14" spans="1:21" x14ac:dyDescent="0.25">
      <c r="A14" s="11"/>
      <c r="B14" s="11"/>
      <c r="C14" s="11"/>
      <c r="D14" s="11"/>
      <c r="E14" s="11"/>
      <c r="F14" s="3"/>
      <c r="G14" s="3"/>
      <c r="H14" s="11"/>
      <c r="I14" s="11"/>
      <c r="J14" s="3">
        <f t="shared" si="2"/>
        <v>0</v>
      </c>
      <c r="K14" s="11"/>
      <c r="L14" s="11"/>
      <c r="M14" s="11"/>
      <c r="N14" s="11"/>
      <c r="O14" s="11"/>
      <c r="P14" s="11"/>
    </row>
    <row r="15" spans="1:21" x14ac:dyDescent="0.25">
      <c r="A15" s="11"/>
      <c r="B15" s="11"/>
      <c r="C15" s="11"/>
      <c r="D15" s="11"/>
      <c r="E15" s="11"/>
      <c r="F15" s="3"/>
      <c r="G15" s="3"/>
      <c r="H15" s="11"/>
      <c r="I15" s="11"/>
      <c r="J15" s="3">
        <f t="shared" si="2"/>
        <v>0</v>
      </c>
      <c r="K15" s="11"/>
      <c r="L15" s="11"/>
      <c r="M15" s="11"/>
      <c r="N15" s="11"/>
      <c r="O15" s="11"/>
      <c r="P15" s="11"/>
    </row>
    <row r="16" spans="1:21" x14ac:dyDescent="0.25">
      <c r="A16" s="11"/>
      <c r="B16" s="11"/>
      <c r="C16" s="11"/>
      <c r="D16" s="11"/>
      <c r="E16" s="11"/>
      <c r="F16" s="3"/>
      <c r="G16" s="3"/>
      <c r="H16" s="11"/>
      <c r="I16" s="11"/>
      <c r="J16" s="3">
        <f t="shared" si="2"/>
        <v>0</v>
      </c>
      <c r="K16" s="11"/>
      <c r="L16" s="11"/>
      <c r="M16" s="11"/>
      <c r="N16" s="11"/>
      <c r="O16" s="11"/>
      <c r="P16" s="11"/>
    </row>
    <row r="17" spans="1:16" x14ac:dyDescent="0.25">
      <c r="A17" s="11"/>
      <c r="B17" s="11"/>
      <c r="C17" s="11"/>
      <c r="D17" s="11"/>
      <c r="E17" s="11"/>
      <c r="F17" s="3"/>
      <c r="G17" s="3"/>
      <c r="H17" s="11"/>
      <c r="I17" s="11"/>
      <c r="J17" s="3">
        <f t="shared" si="2"/>
        <v>0</v>
      </c>
      <c r="K17" s="11"/>
      <c r="L17" s="11"/>
      <c r="M17" s="11"/>
      <c r="N17" s="11"/>
      <c r="O17" s="11"/>
      <c r="P17" s="11"/>
    </row>
    <row r="18" spans="1:16" x14ac:dyDescent="0.25">
      <c r="A18" s="11"/>
      <c r="B18" s="11"/>
      <c r="C18" s="11"/>
      <c r="D18" s="11"/>
      <c r="E18" s="11"/>
      <c r="F18" s="3"/>
      <c r="G18" s="3"/>
      <c r="H18" s="11"/>
      <c r="I18" s="11"/>
      <c r="J18" s="3">
        <f t="shared" si="2"/>
        <v>0</v>
      </c>
      <c r="K18" s="11"/>
      <c r="L18" s="11"/>
      <c r="M18" s="11"/>
      <c r="N18" s="11"/>
      <c r="O18" s="11"/>
      <c r="P18" s="11"/>
    </row>
    <row r="19" spans="1:16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4" spans="1:16" x14ac:dyDescent="0.25">
      <c r="B24" t="s">
        <v>988</v>
      </c>
    </row>
    <row r="25" spans="1:16" x14ac:dyDescent="0.25">
      <c r="B25" t="s">
        <v>989</v>
      </c>
      <c r="C25" s="3">
        <v>2641524</v>
      </c>
    </row>
    <row r="26" spans="1:16" x14ac:dyDescent="0.25">
      <c r="B26" t="s">
        <v>966</v>
      </c>
      <c r="C26" s="3">
        <f>D2*P2*(1-K2/100)</f>
        <v>40070927.5</v>
      </c>
    </row>
    <row r="27" spans="1:16" x14ac:dyDescent="0.25">
      <c r="B27" t="s">
        <v>990</v>
      </c>
      <c r="C27" s="3">
        <f>D6*P6*(1-K6/100)</f>
        <v>39891058</v>
      </c>
    </row>
    <row r="30" spans="1:16" x14ac:dyDescent="0.25">
      <c r="B30" t="s">
        <v>6</v>
      </c>
      <c r="C30" s="7">
        <f>SUM(C25:C29)</f>
        <v>82603509.5</v>
      </c>
    </row>
    <row r="32" spans="1:16" x14ac:dyDescent="0.25">
      <c r="B32" t="s">
        <v>983</v>
      </c>
      <c r="C32" s="7">
        <f>C30-H39</f>
        <v>1997646.4863013625</v>
      </c>
    </row>
    <row r="36" spans="1:9" x14ac:dyDescent="0.25">
      <c r="H36" s="11" t="s">
        <v>969</v>
      </c>
      <c r="I36" s="25"/>
    </row>
    <row r="37" spans="1:9" x14ac:dyDescent="0.25">
      <c r="H37" s="11">
        <v>24</v>
      </c>
      <c r="I37" s="25"/>
    </row>
    <row r="38" spans="1:9" x14ac:dyDescent="0.25">
      <c r="A38" s="11" t="s">
        <v>180</v>
      </c>
      <c r="B38" s="11" t="s">
        <v>971</v>
      </c>
      <c r="C38" s="11" t="s">
        <v>267</v>
      </c>
      <c r="D38" s="11" t="s">
        <v>8</v>
      </c>
      <c r="E38" s="11"/>
      <c r="F38" s="11" t="s">
        <v>183</v>
      </c>
      <c r="G38" s="11" t="s">
        <v>972</v>
      </c>
      <c r="H38" s="11" t="s">
        <v>973</v>
      </c>
      <c r="I38" s="25"/>
    </row>
    <row r="39" spans="1:9" x14ac:dyDescent="0.25">
      <c r="A39" s="11" t="s">
        <v>952</v>
      </c>
      <c r="B39" s="11" t="s">
        <v>963</v>
      </c>
      <c r="C39" s="3">
        <v>80500000</v>
      </c>
      <c r="D39" s="11" t="s">
        <v>676</v>
      </c>
      <c r="E39" s="11"/>
      <c r="F39" s="11">
        <v>2</v>
      </c>
      <c r="G39" s="3">
        <f>C39*F39*H37/(365*100)</f>
        <v>105863.01369863014</v>
      </c>
      <c r="H39" s="29">
        <f>C39+G39</f>
        <v>80605863.013698637</v>
      </c>
      <c r="I39" s="28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25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25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25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25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25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25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25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selection activeCell="E10" sqref="E10"/>
    </sheetView>
  </sheetViews>
  <sheetFormatPr defaultRowHeight="15" x14ac:dyDescent="0.25"/>
  <cols>
    <col min="5" max="5" width="10.85546875" bestFit="1" customWidth="1"/>
    <col min="6" max="6" width="10.85546875" customWidth="1"/>
    <col min="7" max="7" width="17.5703125" bestFit="1" customWidth="1"/>
    <col min="8" max="9" width="12.42578125" bestFit="1" customWidth="1"/>
    <col min="10" max="10" width="11" bestFit="1" customWidth="1"/>
    <col min="15" max="17" width="12.42578125" bestFit="1" customWidth="1"/>
    <col min="19" max="19" width="14.5703125" bestFit="1" customWidth="1"/>
    <col min="21" max="21" width="12.42578125" bestFit="1" customWidth="1"/>
  </cols>
  <sheetData>
    <row r="1" spans="1:22" x14ac:dyDescent="0.25">
      <c r="A1" s="11" t="s">
        <v>961</v>
      </c>
      <c r="B1" s="11" t="s">
        <v>991</v>
      </c>
      <c r="C1" s="11" t="s">
        <v>1007</v>
      </c>
      <c r="D1" s="11" t="s">
        <v>1008</v>
      </c>
      <c r="E1" s="11" t="s">
        <v>1004</v>
      </c>
      <c r="F1" s="11" t="s">
        <v>1046</v>
      </c>
      <c r="G1" s="11" t="s">
        <v>1021</v>
      </c>
      <c r="H1" s="11" t="s">
        <v>970</v>
      </c>
      <c r="I1" s="11" t="s">
        <v>1009</v>
      </c>
      <c r="J1" s="70" t="s">
        <v>1040</v>
      </c>
      <c r="M1">
        <v>96</v>
      </c>
      <c r="N1">
        <v>12</v>
      </c>
      <c r="O1" s="3">
        <v>98100</v>
      </c>
      <c r="P1" s="3">
        <f>O1</f>
        <v>98100</v>
      </c>
      <c r="Q1" s="3">
        <v>0</v>
      </c>
      <c r="S1" t="s">
        <v>985</v>
      </c>
      <c r="T1" t="s">
        <v>1052</v>
      </c>
      <c r="U1" t="s">
        <v>1053</v>
      </c>
    </row>
    <row r="2" spans="1:22" x14ac:dyDescent="0.25">
      <c r="A2" s="11">
        <v>1</v>
      </c>
      <c r="B2" s="11" t="s">
        <v>1050</v>
      </c>
      <c r="C2" s="11">
        <v>17</v>
      </c>
      <c r="D2" s="11">
        <v>6</v>
      </c>
      <c r="E2" s="11" t="s">
        <v>1051</v>
      </c>
      <c r="F2" s="11">
        <f>46-$E$32</f>
        <v>46</v>
      </c>
      <c r="G2" s="3">
        <v>100000</v>
      </c>
      <c r="H2" s="3">
        <v>96000</v>
      </c>
      <c r="I2" s="11"/>
      <c r="J2" s="70"/>
      <c r="M2">
        <v>97</v>
      </c>
      <c r="N2">
        <v>1</v>
      </c>
      <c r="O2">
        <f t="shared" ref="O2:O3" si="0">$V$2</f>
        <v>1716.666666666667</v>
      </c>
      <c r="P2" s="3">
        <f>P1*(1+$S$2/1200)</f>
        <v>99898.5</v>
      </c>
      <c r="Q2" s="3">
        <f>O2+Q1*(1+$S$2/1200)</f>
        <v>1716.666666666667</v>
      </c>
      <c r="S2">
        <v>22</v>
      </c>
      <c r="T2">
        <v>20.6</v>
      </c>
      <c r="U2" s="3">
        <v>100000</v>
      </c>
      <c r="V2">
        <f>U2*T2/(100*12)</f>
        <v>1716.666666666667</v>
      </c>
    </row>
    <row r="3" spans="1:22" x14ac:dyDescent="0.25">
      <c r="A3" s="11">
        <v>2</v>
      </c>
      <c r="B3" s="11" t="s">
        <v>992</v>
      </c>
      <c r="C3" s="11">
        <v>21</v>
      </c>
      <c r="D3" s="11">
        <v>3</v>
      </c>
      <c r="E3" s="11" t="s">
        <v>1014</v>
      </c>
      <c r="F3" s="11">
        <f>19-$E$32</f>
        <v>19</v>
      </c>
      <c r="G3" s="3">
        <v>100000</v>
      </c>
      <c r="H3" s="3">
        <v>98000</v>
      </c>
      <c r="I3" s="3">
        <v>98100</v>
      </c>
      <c r="J3" s="11"/>
      <c r="M3">
        <v>97</v>
      </c>
      <c r="N3">
        <v>2</v>
      </c>
      <c r="O3">
        <f t="shared" si="0"/>
        <v>1716.666666666667</v>
      </c>
      <c r="P3" s="3">
        <f t="shared" ref="P3:P21" si="1">P2*(1+$S$2/1200)</f>
        <v>101729.9725</v>
      </c>
      <c r="Q3" s="3">
        <f t="shared" ref="Q3:Q49" si="2">O3+Q2*(1+$S$2/1200)</f>
        <v>3464.8055555555561</v>
      </c>
    </row>
    <row r="4" spans="1:22" x14ac:dyDescent="0.25">
      <c r="A4" s="11">
        <v>3</v>
      </c>
      <c r="B4" s="11" t="s">
        <v>993</v>
      </c>
      <c r="C4" s="11">
        <v>16</v>
      </c>
      <c r="D4" s="11">
        <v>3</v>
      </c>
      <c r="E4" s="11" t="s">
        <v>1015</v>
      </c>
      <c r="F4" s="11">
        <f>19-$E$32</f>
        <v>19</v>
      </c>
      <c r="G4" s="3">
        <v>100000</v>
      </c>
      <c r="H4" s="3">
        <v>91000</v>
      </c>
      <c r="I4" s="3">
        <v>91500</v>
      </c>
      <c r="J4" s="11"/>
      <c r="M4">
        <v>97</v>
      </c>
      <c r="N4">
        <v>3</v>
      </c>
      <c r="O4">
        <f>$V$2</f>
        <v>1716.666666666667</v>
      </c>
      <c r="P4" s="3">
        <f t="shared" si="1"/>
        <v>103595.02199583333</v>
      </c>
      <c r="Q4" s="3">
        <f t="shared" si="2"/>
        <v>5244.9936574074081</v>
      </c>
    </row>
    <row r="5" spans="1:22" x14ac:dyDescent="0.25">
      <c r="A5" s="11">
        <v>4</v>
      </c>
      <c r="B5" s="23" t="s">
        <v>984</v>
      </c>
      <c r="C5" s="11">
        <v>21</v>
      </c>
      <c r="D5" s="11">
        <v>3</v>
      </c>
      <c r="E5" s="11" t="s">
        <v>1016</v>
      </c>
      <c r="F5" s="11">
        <f>21-$E$32</f>
        <v>21</v>
      </c>
      <c r="G5" s="3">
        <v>100000</v>
      </c>
      <c r="H5" s="3">
        <v>97200</v>
      </c>
      <c r="I5" s="3">
        <v>98100</v>
      </c>
      <c r="J5" s="11"/>
      <c r="M5">
        <v>97</v>
      </c>
      <c r="N5">
        <v>4</v>
      </c>
      <c r="O5">
        <f t="shared" ref="O5:O49" si="3">$V$2</f>
        <v>1716.666666666667</v>
      </c>
      <c r="P5" s="3">
        <f t="shared" si="1"/>
        <v>105494.26406575694</v>
      </c>
      <c r="Q5" s="3">
        <f t="shared" si="2"/>
        <v>7057.818541126544</v>
      </c>
    </row>
    <row r="6" spans="1:22" x14ac:dyDescent="0.25">
      <c r="A6" s="11">
        <v>5</v>
      </c>
      <c r="B6" s="11" t="s">
        <v>976</v>
      </c>
      <c r="C6" s="11">
        <v>21</v>
      </c>
      <c r="D6" s="11">
        <v>3</v>
      </c>
      <c r="E6" s="11" t="s">
        <v>1017</v>
      </c>
      <c r="F6" s="11">
        <f>24-$E$32</f>
        <v>24</v>
      </c>
      <c r="G6" s="3">
        <v>100000</v>
      </c>
      <c r="H6" s="3">
        <v>99500</v>
      </c>
      <c r="I6" s="3"/>
      <c r="J6" s="11"/>
      <c r="M6">
        <v>97</v>
      </c>
      <c r="N6">
        <v>5</v>
      </c>
      <c r="O6">
        <f t="shared" si="3"/>
        <v>1716.666666666667</v>
      </c>
      <c r="P6" s="3">
        <f t="shared" si="1"/>
        <v>107428.32557362915</v>
      </c>
      <c r="Q6" s="3">
        <f t="shared" si="2"/>
        <v>8903.8785477138645</v>
      </c>
    </row>
    <row r="7" spans="1:22" x14ac:dyDescent="0.25">
      <c r="A7" s="11">
        <v>6</v>
      </c>
      <c r="B7" s="11" t="s">
        <v>994</v>
      </c>
      <c r="C7" s="11">
        <v>18</v>
      </c>
      <c r="D7" s="11">
        <v>3</v>
      </c>
      <c r="E7" s="11" t="s">
        <v>1049</v>
      </c>
      <c r="F7" s="11">
        <f>24-$E$32</f>
        <v>24</v>
      </c>
      <c r="G7" s="3">
        <v>100000</v>
      </c>
      <c r="H7" s="3">
        <v>93000</v>
      </c>
      <c r="I7" s="3"/>
      <c r="J7" s="11"/>
      <c r="M7">
        <v>97</v>
      </c>
      <c r="N7">
        <v>6</v>
      </c>
      <c r="O7">
        <f t="shared" si="3"/>
        <v>1716.666666666667</v>
      </c>
      <c r="P7" s="3">
        <f t="shared" si="1"/>
        <v>109397.84487581234</v>
      </c>
      <c r="Q7" s="3">
        <f t="shared" si="2"/>
        <v>10783.782987755287</v>
      </c>
    </row>
    <row r="8" spans="1:22" x14ac:dyDescent="0.25">
      <c r="A8" s="11">
        <v>7</v>
      </c>
      <c r="B8" s="11" t="s">
        <v>995</v>
      </c>
      <c r="C8" s="11">
        <v>16</v>
      </c>
      <c r="D8" s="11">
        <v>3</v>
      </c>
      <c r="E8" s="11" t="s">
        <v>1018</v>
      </c>
      <c r="F8" s="11">
        <f>22-$E$32</f>
        <v>22</v>
      </c>
      <c r="G8" s="3">
        <v>100000</v>
      </c>
      <c r="H8" s="3">
        <v>90000</v>
      </c>
      <c r="I8" s="3"/>
      <c r="J8" s="11"/>
      <c r="M8">
        <v>97</v>
      </c>
      <c r="N8">
        <v>7</v>
      </c>
      <c r="O8">
        <f t="shared" si="3"/>
        <v>1716.666666666667</v>
      </c>
      <c r="P8" s="3">
        <f t="shared" si="1"/>
        <v>111403.47203186889</v>
      </c>
      <c r="Q8" s="3">
        <f t="shared" si="2"/>
        <v>12698.152342530801</v>
      </c>
    </row>
    <row r="9" spans="1:22" x14ac:dyDescent="0.25">
      <c r="A9" s="11">
        <v>8</v>
      </c>
      <c r="B9" s="11" t="s">
        <v>996</v>
      </c>
      <c r="C9" s="11">
        <v>15</v>
      </c>
      <c r="D9" s="11">
        <v>6</v>
      </c>
      <c r="E9" s="11" t="s">
        <v>1019</v>
      </c>
      <c r="F9" s="11">
        <f>33-$E$32</f>
        <v>33</v>
      </c>
      <c r="G9" s="3">
        <v>100000</v>
      </c>
      <c r="H9" s="3">
        <v>82000</v>
      </c>
      <c r="I9" s="3"/>
      <c r="J9" s="11"/>
      <c r="M9">
        <v>97</v>
      </c>
      <c r="N9">
        <v>8</v>
      </c>
      <c r="O9">
        <f t="shared" si="3"/>
        <v>1716.666666666667</v>
      </c>
      <c r="P9" s="3">
        <f t="shared" si="1"/>
        <v>113445.86901911983</v>
      </c>
      <c r="Q9" s="3">
        <f t="shared" si="2"/>
        <v>14647.618468810531</v>
      </c>
    </row>
    <row r="10" spans="1:22" x14ac:dyDescent="0.25">
      <c r="A10" s="11">
        <v>9</v>
      </c>
      <c r="B10" s="11" t="s">
        <v>966</v>
      </c>
      <c r="C10" s="11">
        <v>0</v>
      </c>
      <c r="D10" s="11">
        <v>0</v>
      </c>
      <c r="E10" s="11" t="s">
        <v>1020</v>
      </c>
      <c r="F10" s="11">
        <f>12-$E$32</f>
        <v>12</v>
      </c>
      <c r="G10" s="3">
        <v>100000</v>
      </c>
      <c r="H10" s="3">
        <v>80200</v>
      </c>
      <c r="I10" s="3"/>
      <c r="J10" s="11"/>
      <c r="M10">
        <v>97</v>
      </c>
      <c r="N10">
        <v>9</v>
      </c>
      <c r="O10">
        <f t="shared" si="3"/>
        <v>1716.666666666667</v>
      </c>
      <c r="P10" s="3">
        <f t="shared" si="1"/>
        <v>115525.70995113702</v>
      </c>
      <c r="Q10" s="3">
        <f t="shared" si="2"/>
        <v>16632.824807405392</v>
      </c>
    </row>
    <row r="11" spans="1:22" x14ac:dyDescent="0.25">
      <c r="A11" s="11">
        <v>10</v>
      </c>
      <c r="B11" s="11" t="s">
        <v>997</v>
      </c>
      <c r="C11" s="11">
        <v>0</v>
      </c>
      <c r="D11" s="11">
        <v>0</v>
      </c>
      <c r="E11" s="11" t="s">
        <v>1030</v>
      </c>
      <c r="F11" s="11">
        <f>5-$E$32</f>
        <v>5</v>
      </c>
      <c r="G11" s="3">
        <v>100000</v>
      </c>
      <c r="H11" s="3">
        <v>92020</v>
      </c>
      <c r="I11" s="3"/>
      <c r="J11" s="11"/>
      <c r="M11">
        <v>97</v>
      </c>
      <c r="N11">
        <v>10</v>
      </c>
      <c r="O11">
        <f t="shared" si="3"/>
        <v>1716.666666666667</v>
      </c>
      <c r="P11" s="3">
        <f t="shared" si="1"/>
        <v>117643.68130024119</v>
      </c>
      <c r="Q11" s="3">
        <f t="shared" si="2"/>
        <v>18654.426595541157</v>
      </c>
    </row>
    <row r="12" spans="1:22" x14ac:dyDescent="0.25">
      <c r="A12" s="11">
        <v>11</v>
      </c>
      <c r="B12" s="11" t="s">
        <v>998</v>
      </c>
      <c r="C12" s="11">
        <v>0</v>
      </c>
      <c r="D12" s="11">
        <v>0</v>
      </c>
      <c r="E12" s="11" t="s">
        <v>1031</v>
      </c>
      <c r="F12" s="11">
        <f>6-$E$32</f>
        <v>6</v>
      </c>
      <c r="G12" s="3">
        <v>100000</v>
      </c>
      <c r="H12" s="3">
        <v>90100</v>
      </c>
      <c r="I12" s="3"/>
      <c r="J12" s="11"/>
      <c r="M12">
        <v>97</v>
      </c>
      <c r="N12">
        <v>11</v>
      </c>
      <c r="O12">
        <f t="shared" si="3"/>
        <v>1716.666666666667</v>
      </c>
      <c r="P12" s="3">
        <f t="shared" si="1"/>
        <v>119800.48212407895</v>
      </c>
      <c r="Q12" s="3">
        <f t="shared" si="2"/>
        <v>20713.091083126081</v>
      </c>
    </row>
    <row r="13" spans="1:22" x14ac:dyDescent="0.25">
      <c r="A13" s="11">
        <v>12</v>
      </c>
      <c r="B13" s="11" t="s">
        <v>999</v>
      </c>
      <c r="C13" s="11">
        <v>0</v>
      </c>
      <c r="D13" s="11">
        <v>0</v>
      </c>
      <c r="E13" s="11" t="s">
        <v>1032</v>
      </c>
      <c r="F13" s="11">
        <f>7-$E$32</f>
        <v>7</v>
      </c>
      <c r="G13" s="3">
        <v>100000</v>
      </c>
      <c r="H13" s="3">
        <v>88600</v>
      </c>
      <c r="I13" s="3"/>
      <c r="J13" s="11"/>
      <c r="M13">
        <v>97</v>
      </c>
      <c r="N13">
        <v>12</v>
      </c>
      <c r="O13">
        <f t="shared" si="3"/>
        <v>1716.666666666667</v>
      </c>
      <c r="P13" s="3">
        <f t="shared" si="1"/>
        <v>121996.82429635372</v>
      </c>
      <c r="Q13" s="3">
        <f t="shared" si="2"/>
        <v>22809.497752983392</v>
      </c>
    </row>
    <row r="14" spans="1:22" x14ac:dyDescent="0.25">
      <c r="A14" s="11">
        <v>13</v>
      </c>
      <c r="B14" s="11" t="s">
        <v>1000</v>
      </c>
      <c r="C14" s="11">
        <v>0</v>
      </c>
      <c r="D14" s="11">
        <v>0</v>
      </c>
      <c r="E14" s="11" t="s">
        <v>1033</v>
      </c>
      <c r="F14" s="11">
        <f>8-$E$32</f>
        <v>8</v>
      </c>
      <c r="G14" s="3">
        <v>100000</v>
      </c>
      <c r="H14" s="3">
        <v>71000</v>
      </c>
      <c r="I14" s="3">
        <v>70000</v>
      </c>
      <c r="J14" s="11"/>
      <c r="M14">
        <v>98</v>
      </c>
      <c r="N14">
        <v>1</v>
      </c>
      <c r="O14">
        <f t="shared" si="3"/>
        <v>1716.666666666667</v>
      </c>
      <c r="P14" s="3">
        <f t="shared" si="1"/>
        <v>124233.43274178686</v>
      </c>
      <c r="Q14" s="3">
        <f t="shared" si="2"/>
        <v>24944.338545121424</v>
      </c>
    </row>
    <row r="15" spans="1:22" x14ac:dyDescent="0.25">
      <c r="A15" s="11">
        <v>14</v>
      </c>
      <c r="B15" s="11" t="s">
        <v>1001</v>
      </c>
      <c r="C15" s="11">
        <v>0</v>
      </c>
      <c r="D15" s="11">
        <v>0</v>
      </c>
      <c r="E15" s="11" t="s">
        <v>1034</v>
      </c>
      <c r="F15" s="11">
        <f>9-$E$32</f>
        <v>9</v>
      </c>
      <c r="G15" s="3">
        <v>100000</v>
      </c>
      <c r="H15" s="3">
        <v>84500</v>
      </c>
      <c r="I15" s="3"/>
      <c r="J15" s="11"/>
      <c r="M15">
        <v>98</v>
      </c>
      <c r="N15">
        <v>2</v>
      </c>
      <c r="O15">
        <f t="shared" si="3"/>
        <v>1716.666666666667</v>
      </c>
      <c r="P15" s="3">
        <f t="shared" si="1"/>
        <v>126511.04567538628</v>
      </c>
      <c r="Q15" s="3">
        <f t="shared" si="2"/>
        <v>27118.318085115316</v>
      </c>
    </row>
    <row r="16" spans="1:22" x14ac:dyDescent="0.25">
      <c r="A16" s="11">
        <v>15</v>
      </c>
      <c r="B16" s="11" t="s">
        <v>1002</v>
      </c>
      <c r="C16" s="11">
        <v>0</v>
      </c>
      <c r="D16" s="11">
        <v>0</v>
      </c>
      <c r="E16" s="11" t="s">
        <v>1035</v>
      </c>
      <c r="F16" s="11">
        <f>19-$E$32</f>
        <v>19</v>
      </c>
      <c r="G16" s="3">
        <v>100000</v>
      </c>
      <c r="H16" s="3">
        <v>71000</v>
      </c>
      <c r="I16" s="3"/>
      <c r="J16" s="11"/>
      <c r="M16">
        <v>98</v>
      </c>
      <c r="N16">
        <v>3</v>
      </c>
      <c r="O16">
        <f t="shared" si="3"/>
        <v>1716.666666666667</v>
      </c>
      <c r="P16" s="3">
        <f t="shared" si="1"/>
        <v>128830.41484610169</v>
      </c>
      <c r="Q16" s="3">
        <f t="shared" si="2"/>
        <v>29332.153916675765</v>
      </c>
    </row>
    <row r="17" spans="1:17" x14ac:dyDescent="0.25">
      <c r="A17" s="11">
        <v>16</v>
      </c>
      <c r="B17" s="11" t="s">
        <v>1003</v>
      </c>
      <c r="C17" s="11">
        <v>0</v>
      </c>
      <c r="D17" s="11">
        <v>0</v>
      </c>
      <c r="E17" s="11" t="s">
        <v>1037</v>
      </c>
      <c r="F17" s="11">
        <f>10-$E$32</f>
        <v>10</v>
      </c>
      <c r="G17" s="3">
        <v>100000</v>
      </c>
      <c r="H17" s="3">
        <v>84000</v>
      </c>
      <c r="I17" s="3"/>
      <c r="J17" s="11"/>
      <c r="M17">
        <v>98</v>
      </c>
      <c r="N17">
        <v>4</v>
      </c>
      <c r="O17">
        <f t="shared" si="3"/>
        <v>1716.666666666667</v>
      </c>
      <c r="P17" s="3">
        <f t="shared" si="1"/>
        <v>131192.30578494689</v>
      </c>
      <c r="Q17" s="3">
        <f t="shared" si="2"/>
        <v>31586.576738481486</v>
      </c>
    </row>
    <row r="18" spans="1:17" x14ac:dyDescent="0.25">
      <c r="A18" s="11">
        <v>17</v>
      </c>
      <c r="B18" s="11" t="s">
        <v>1022</v>
      </c>
      <c r="C18" s="11">
        <v>0</v>
      </c>
      <c r="D18" s="11">
        <v>0</v>
      </c>
      <c r="E18" s="11" t="s">
        <v>1036</v>
      </c>
      <c r="F18" s="11">
        <f>16-$E$32</f>
        <v>16</v>
      </c>
      <c r="G18" s="3">
        <v>100000</v>
      </c>
      <c r="H18" s="3">
        <v>75500</v>
      </c>
      <c r="I18" s="3"/>
      <c r="J18" s="11"/>
      <c r="M18">
        <v>98</v>
      </c>
      <c r="N18">
        <v>5</v>
      </c>
      <c r="O18">
        <f t="shared" si="3"/>
        <v>1716.666666666667</v>
      </c>
      <c r="P18" s="3">
        <f t="shared" si="1"/>
        <v>133597.49805767092</v>
      </c>
      <c r="Q18" s="3">
        <f t="shared" si="2"/>
        <v>33882.330645353642</v>
      </c>
    </row>
    <row r="19" spans="1:17" x14ac:dyDescent="0.25">
      <c r="A19" s="11">
        <v>18</v>
      </c>
      <c r="B19" s="11" t="s">
        <v>1023</v>
      </c>
      <c r="C19" s="11">
        <v>0</v>
      </c>
      <c r="D19" s="11">
        <v>0</v>
      </c>
      <c r="E19" s="11" t="s">
        <v>1036</v>
      </c>
      <c r="F19" s="11">
        <f>16-$E$32</f>
        <v>16</v>
      </c>
      <c r="G19" s="3">
        <v>100000</v>
      </c>
      <c r="H19" s="3">
        <v>75500</v>
      </c>
      <c r="I19" s="3"/>
      <c r="J19" s="11"/>
      <c r="M19">
        <v>98</v>
      </c>
      <c r="N19">
        <v>6</v>
      </c>
      <c r="O19">
        <f t="shared" si="3"/>
        <v>1716.666666666667</v>
      </c>
      <c r="P19" s="3">
        <f t="shared" si="1"/>
        <v>136046.78552206155</v>
      </c>
      <c r="Q19" s="3">
        <f t="shared" si="2"/>
        <v>36220.173373851787</v>
      </c>
    </row>
    <row r="20" spans="1:17" x14ac:dyDescent="0.25">
      <c r="A20" s="11">
        <v>19</v>
      </c>
      <c r="B20" s="11" t="s">
        <v>1024</v>
      </c>
      <c r="C20" s="11">
        <v>0</v>
      </c>
      <c r="D20" s="11">
        <v>0</v>
      </c>
      <c r="E20" s="11" t="s">
        <v>1042</v>
      </c>
      <c r="F20" s="11">
        <f>21-$E$32</f>
        <v>21</v>
      </c>
      <c r="G20" s="3">
        <v>100000</v>
      </c>
      <c r="H20" s="3">
        <v>70000</v>
      </c>
      <c r="I20" s="3"/>
      <c r="J20" s="11"/>
      <c r="M20">
        <v>98</v>
      </c>
      <c r="N20" s="9">
        <v>7</v>
      </c>
      <c r="O20">
        <f t="shared" si="3"/>
        <v>1716.666666666667</v>
      </c>
      <c r="P20" s="3">
        <f t="shared" si="1"/>
        <v>138540.97658996601</v>
      </c>
      <c r="Q20" s="3">
        <f t="shared" si="2"/>
        <v>38600.8765523724</v>
      </c>
    </row>
    <row r="21" spans="1:17" x14ac:dyDescent="0.25">
      <c r="A21" s="11">
        <v>20</v>
      </c>
      <c r="B21" s="11" t="s">
        <v>1025</v>
      </c>
      <c r="C21" s="11">
        <v>0</v>
      </c>
      <c r="D21" s="11">
        <v>0</v>
      </c>
      <c r="E21" s="11" t="s">
        <v>1043</v>
      </c>
      <c r="F21" s="11">
        <f>21-$E$32</f>
        <v>21</v>
      </c>
      <c r="G21" s="3">
        <v>100000</v>
      </c>
      <c r="H21" s="3">
        <v>86600</v>
      </c>
      <c r="I21" s="3"/>
      <c r="J21" s="11"/>
      <c r="K21" t="s">
        <v>25</v>
      </c>
      <c r="M21">
        <v>98</v>
      </c>
      <c r="N21">
        <v>8</v>
      </c>
      <c r="O21">
        <f t="shared" si="3"/>
        <v>1716.666666666667</v>
      </c>
      <c r="P21" s="3">
        <f>P20*(1+$S$2/1200)</f>
        <v>141080.89449411537</v>
      </c>
      <c r="Q21" s="3">
        <f t="shared" si="2"/>
        <v>41025.22595583256</v>
      </c>
    </row>
    <row r="22" spans="1:17" x14ac:dyDescent="0.25">
      <c r="A22" s="11">
        <v>21</v>
      </c>
      <c r="B22" s="11" t="s">
        <v>1026</v>
      </c>
      <c r="C22" s="11">
        <v>0</v>
      </c>
      <c r="D22" s="11">
        <v>0</v>
      </c>
      <c r="E22" s="11" t="s">
        <v>1044</v>
      </c>
      <c r="F22" s="11">
        <f>23-$E$32</f>
        <v>23</v>
      </c>
      <c r="G22" s="3">
        <v>100000</v>
      </c>
      <c r="H22" s="3">
        <v>68000</v>
      </c>
      <c r="I22" s="3"/>
      <c r="J22" s="11"/>
      <c r="M22">
        <v>98</v>
      </c>
      <c r="N22" s="9">
        <v>9</v>
      </c>
      <c r="O22">
        <f t="shared" si="3"/>
        <v>1716.666666666667</v>
      </c>
      <c r="P22" s="3">
        <f t="shared" ref="P22:P49" si="4">P21*(1+$S$2/1200)</f>
        <v>143667.37755984082</v>
      </c>
      <c r="Q22" s="3">
        <f t="shared" si="2"/>
        <v>43494.021765022822</v>
      </c>
    </row>
    <row r="23" spans="1:17" x14ac:dyDescent="0.25">
      <c r="A23" s="11">
        <v>22</v>
      </c>
      <c r="B23" s="11" t="s">
        <v>1027</v>
      </c>
      <c r="C23" s="11">
        <v>0</v>
      </c>
      <c r="D23" s="11">
        <v>0</v>
      </c>
      <c r="E23" s="11" t="s">
        <v>1045</v>
      </c>
      <c r="F23" s="11">
        <f>22-$E$32</f>
        <v>22</v>
      </c>
      <c r="G23" s="3">
        <v>100000</v>
      </c>
      <c r="H23" s="3">
        <v>69000</v>
      </c>
      <c r="I23" s="3"/>
      <c r="J23" s="11"/>
      <c r="M23">
        <v>98</v>
      </c>
      <c r="N23">
        <v>10</v>
      </c>
      <c r="O23">
        <f t="shared" si="3"/>
        <v>1716.666666666667</v>
      </c>
      <c r="P23" s="3">
        <f t="shared" si="4"/>
        <v>146301.27948177123</v>
      </c>
      <c r="Q23" s="3">
        <f t="shared" si="2"/>
        <v>46008.078830714905</v>
      </c>
    </row>
    <row r="24" spans="1:17" x14ac:dyDescent="0.25">
      <c r="A24" s="11">
        <v>23</v>
      </c>
      <c r="B24" s="11" t="s">
        <v>1028</v>
      </c>
      <c r="C24" s="11">
        <v>0</v>
      </c>
      <c r="D24" s="11">
        <v>0</v>
      </c>
      <c r="E24" s="11" t="s">
        <v>1045</v>
      </c>
      <c r="F24" s="11">
        <f>22-$E$32</f>
        <v>22</v>
      </c>
      <c r="G24" s="3">
        <v>100000</v>
      </c>
      <c r="H24" s="3">
        <v>69000</v>
      </c>
      <c r="I24" s="3"/>
      <c r="J24" s="11"/>
      <c r="M24">
        <v>98</v>
      </c>
      <c r="N24">
        <v>11</v>
      </c>
      <c r="O24">
        <f t="shared" si="3"/>
        <v>1716.666666666667</v>
      </c>
      <c r="P24" s="3">
        <f t="shared" si="4"/>
        <v>148983.46960560369</v>
      </c>
      <c r="Q24" s="3">
        <f t="shared" si="2"/>
        <v>48568.226942611342</v>
      </c>
    </row>
    <row r="25" spans="1:17" x14ac:dyDescent="0.25">
      <c r="A25" s="11">
        <v>24</v>
      </c>
      <c r="B25" s="11" t="s">
        <v>1029</v>
      </c>
      <c r="C25" s="11">
        <v>0</v>
      </c>
      <c r="D25" s="11">
        <v>0</v>
      </c>
      <c r="E25" s="11" t="s">
        <v>1033</v>
      </c>
      <c r="F25" s="11">
        <f>20-$E$32</f>
        <v>20</v>
      </c>
      <c r="G25" s="3">
        <v>100000</v>
      </c>
      <c r="H25" s="3">
        <v>70500</v>
      </c>
      <c r="I25" s="3"/>
      <c r="J25" s="11"/>
      <c r="M25">
        <v>98</v>
      </c>
      <c r="N25">
        <v>12</v>
      </c>
      <c r="O25">
        <f t="shared" si="3"/>
        <v>1716.666666666667</v>
      </c>
      <c r="P25" s="3">
        <f t="shared" si="4"/>
        <v>151714.83321503975</v>
      </c>
      <c r="Q25" s="3">
        <f t="shared" si="2"/>
        <v>51175.311103225882</v>
      </c>
    </row>
    <row r="26" spans="1:17" x14ac:dyDescent="0.25">
      <c r="A26" s="11">
        <v>25</v>
      </c>
      <c r="B26" s="11" t="s">
        <v>1005</v>
      </c>
      <c r="C26" s="11">
        <v>20</v>
      </c>
      <c r="D26" s="11">
        <v>6</v>
      </c>
      <c r="E26" s="11" t="s">
        <v>1011</v>
      </c>
      <c r="F26" s="11">
        <f>42-$E$32</f>
        <v>42</v>
      </c>
      <c r="G26" s="3">
        <v>100000</v>
      </c>
      <c r="H26" s="3">
        <v>100000</v>
      </c>
      <c r="I26" s="3"/>
      <c r="J26" s="11"/>
      <c r="M26">
        <v>99</v>
      </c>
      <c r="N26">
        <v>1</v>
      </c>
      <c r="O26">
        <f t="shared" si="3"/>
        <v>1716.666666666667</v>
      </c>
      <c r="P26" s="3">
        <f t="shared" si="4"/>
        <v>154496.27182398213</v>
      </c>
      <c r="Q26" s="3">
        <f t="shared" si="2"/>
        <v>53830.19180678502</v>
      </c>
    </row>
    <row r="27" spans="1:17" x14ac:dyDescent="0.25">
      <c r="A27" s="11">
        <v>26</v>
      </c>
      <c r="B27" s="11" t="s">
        <v>1006</v>
      </c>
      <c r="C27" s="11">
        <v>18</v>
      </c>
      <c r="D27" s="11">
        <v>6</v>
      </c>
      <c r="E27" s="11" t="s">
        <v>1010</v>
      </c>
      <c r="F27" s="11">
        <f>42-$E$32</f>
        <v>42</v>
      </c>
      <c r="G27" s="3">
        <v>100000</v>
      </c>
      <c r="H27" s="3"/>
      <c r="I27" s="3"/>
      <c r="J27" s="11"/>
      <c r="M27">
        <v>99</v>
      </c>
      <c r="N27">
        <v>2</v>
      </c>
      <c r="O27">
        <f t="shared" si="3"/>
        <v>1716.666666666667</v>
      </c>
      <c r="P27" s="3">
        <f t="shared" si="4"/>
        <v>157328.70347408846</v>
      </c>
      <c r="Q27" s="3">
        <f t="shared" si="2"/>
        <v>56533.745323242743</v>
      </c>
    </row>
    <row r="28" spans="1:17" x14ac:dyDescent="0.25">
      <c r="A28" s="11">
        <v>27</v>
      </c>
      <c r="B28" s="11" t="s">
        <v>1012</v>
      </c>
      <c r="C28" s="11">
        <v>22</v>
      </c>
      <c r="D28" s="11">
        <v>3</v>
      </c>
      <c r="E28" s="11" t="s">
        <v>1013</v>
      </c>
      <c r="F28" s="11">
        <f>12-$E$32</f>
        <v>12</v>
      </c>
      <c r="G28" s="3">
        <v>100000</v>
      </c>
      <c r="H28" s="3">
        <v>103000</v>
      </c>
      <c r="I28" s="3"/>
      <c r="J28" s="11"/>
      <c r="M28">
        <v>99</v>
      </c>
      <c r="N28">
        <v>3</v>
      </c>
      <c r="O28">
        <f t="shared" si="3"/>
        <v>1716.666666666667</v>
      </c>
      <c r="P28" s="3">
        <f t="shared" si="4"/>
        <v>160213.06303778008</v>
      </c>
      <c r="Q28" s="3">
        <f t="shared" si="2"/>
        <v>59286.863987502191</v>
      </c>
    </row>
    <row r="29" spans="1:17" x14ac:dyDescent="0.25">
      <c r="A29" s="11">
        <v>28</v>
      </c>
      <c r="B29" s="11" t="s">
        <v>1038</v>
      </c>
      <c r="C29" s="11">
        <v>21</v>
      </c>
      <c r="D29" s="11">
        <v>1</v>
      </c>
      <c r="E29" s="11" t="s">
        <v>1039</v>
      </c>
      <c r="F29" s="11">
        <f>26-$E$32</f>
        <v>26</v>
      </c>
      <c r="G29" s="3">
        <v>100000</v>
      </c>
      <c r="H29" s="3">
        <v>104000</v>
      </c>
      <c r="I29" s="3">
        <v>100000</v>
      </c>
      <c r="J29" s="11" t="s">
        <v>1041</v>
      </c>
      <c r="M29">
        <v>99</v>
      </c>
      <c r="N29">
        <v>4</v>
      </c>
      <c r="O29">
        <f t="shared" si="3"/>
        <v>1716.666666666667</v>
      </c>
      <c r="P29" s="3">
        <f t="shared" si="4"/>
        <v>163150.30252680604</v>
      </c>
      <c r="Q29" s="3">
        <f t="shared" si="2"/>
        <v>62090.456493939724</v>
      </c>
    </row>
    <row r="30" spans="1:17" x14ac:dyDescent="0.25">
      <c r="M30">
        <v>99</v>
      </c>
      <c r="N30">
        <v>5</v>
      </c>
      <c r="O30">
        <f t="shared" si="3"/>
        <v>1716.666666666667</v>
      </c>
      <c r="P30" s="3">
        <f t="shared" si="4"/>
        <v>166141.39140646416</v>
      </c>
      <c r="Q30" s="3">
        <f t="shared" si="2"/>
        <v>64945.448196328616</v>
      </c>
    </row>
    <row r="31" spans="1:17" x14ac:dyDescent="0.25">
      <c r="M31">
        <v>99</v>
      </c>
      <c r="N31">
        <v>6</v>
      </c>
      <c r="O31">
        <f t="shared" si="3"/>
        <v>1716.666666666667</v>
      </c>
      <c r="P31" s="3">
        <f t="shared" si="4"/>
        <v>169187.31691558266</v>
      </c>
      <c r="Q31" s="3">
        <f t="shared" si="2"/>
        <v>67852.781413261313</v>
      </c>
    </row>
    <row r="32" spans="1:17" x14ac:dyDescent="0.25">
      <c r="C32" t="s">
        <v>1047</v>
      </c>
      <c r="D32" t="s">
        <v>1048</v>
      </c>
      <c r="E32">
        <v>0</v>
      </c>
      <c r="M32">
        <v>99</v>
      </c>
      <c r="N32">
        <v>7</v>
      </c>
      <c r="O32">
        <f t="shared" si="3"/>
        <v>1716.666666666667</v>
      </c>
      <c r="P32" s="3">
        <f t="shared" si="4"/>
        <v>172289.08439236833</v>
      </c>
      <c r="Q32" s="3">
        <f t="shared" si="2"/>
        <v>70813.415739171105</v>
      </c>
    </row>
    <row r="33" spans="13:17" x14ac:dyDescent="0.25">
      <c r="M33">
        <v>99</v>
      </c>
      <c r="N33">
        <v>8</v>
      </c>
      <c r="O33">
        <f t="shared" si="3"/>
        <v>1716.666666666667</v>
      </c>
      <c r="P33" s="3">
        <f t="shared" si="4"/>
        <v>175447.7176062284</v>
      </c>
      <c r="Q33" s="3">
        <f t="shared" si="2"/>
        <v>73828.328361055916</v>
      </c>
    </row>
    <row r="34" spans="13:17" x14ac:dyDescent="0.25">
      <c r="M34">
        <v>99</v>
      </c>
      <c r="N34">
        <v>9</v>
      </c>
      <c r="O34">
        <f t="shared" si="3"/>
        <v>1716.666666666667</v>
      </c>
      <c r="P34" s="3">
        <f t="shared" si="4"/>
        <v>178664.25909567592</v>
      </c>
      <c r="Q34" s="3">
        <f t="shared" si="2"/>
        <v>76898.514381008616</v>
      </c>
    </row>
    <row r="35" spans="13:17" x14ac:dyDescent="0.25">
      <c r="M35">
        <v>99</v>
      </c>
      <c r="N35">
        <v>10</v>
      </c>
      <c r="O35">
        <f t="shared" si="3"/>
        <v>1716.666666666667</v>
      </c>
      <c r="P35" s="3">
        <f t="shared" si="4"/>
        <v>181939.77051242997</v>
      </c>
      <c r="Q35" s="3">
        <f t="shared" si="2"/>
        <v>80024.987144660437</v>
      </c>
    </row>
    <row r="36" spans="13:17" x14ac:dyDescent="0.25">
      <c r="M36">
        <v>99</v>
      </c>
      <c r="N36">
        <v>11</v>
      </c>
      <c r="O36">
        <f t="shared" si="3"/>
        <v>1716.666666666667</v>
      </c>
      <c r="P36" s="3">
        <f t="shared" si="4"/>
        <v>185275.33297182451</v>
      </c>
      <c r="Q36" s="3">
        <f t="shared" si="2"/>
        <v>83208.778575645876</v>
      </c>
    </row>
    <row r="37" spans="13:17" x14ac:dyDescent="0.25">
      <c r="M37">
        <v>99</v>
      </c>
      <c r="N37">
        <v>12</v>
      </c>
      <c r="O37">
        <f t="shared" si="3"/>
        <v>1716.666666666667</v>
      </c>
      <c r="P37" s="3">
        <f t="shared" si="4"/>
        <v>188672.04740964129</v>
      </c>
      <c r="Q37" s="3">
        <f t="shared" si="2"/>
        <v>86450.939516199389</v>
      </c>
    </row>
    <row r="38" spans="13:17" x14ac:dyDescent="0.25">
      <c r="M38">
        <v>100</v>
      </c>
      <c r="N38">
        <v>1</v>
      </c>
      <c r="O38">
        <f t="shared" si="3"/>
        <v>1716.666666666667</v>
      </c>
      <c r="P38" s="3">
        <f t="shared" si="4"/>
        <v>192131.03494548472</v>
      </c>
      <c r="Q38" s="3">
        <f t="shared" si="2"/>
        <v>89752.540073996381</v>
      </c>
    </row>
    <row r="39" spans="13:17" x14ac:dyDescent="0.25">
      <c r="M39">
        <v>100</v>
      </c>
      <c r="N39">
        <v>2</v>
      </c>
      <c r="O39">
        <f t="shared" si="3"/>
        <v>1716.666666666667</v>
      </c>
      <c r="P39" s="3">
        <f t="shared" si="4"/>
        <v>195653.43725281861</v>
      </c>
      <c r="Q39" s="3">
        <f t="shared" si="2"/>
        <v>93114.669975352983</v>
      </c>
    </row>
    <row r="40" spans="13:17" x14ac:dyDescent="0.25">
      <c r="M40">
        <v>100</v>
      </c>
      <c r="N40">
        <v>3</v>
      </c>
      <c r="O40">
        <f t="shared" si="3"/>
        <v>1716.666666666667</v>
      </c>
      <c r="P40" s="3">
        <f t="shared" si="4"/>
        <v>199240.41693578695</v>
      </c>
      <c r="Q40" s="3">
        <f t="shared" si="2"/>
        <v>96538.438924901129</v>
      </c>
    </row>
    <row r="41" spans="13:17" x14ac:dyDescent="0.25">
      <c r="M41">
        <v>100</v>
      </c>
      <c r="N41">
        <v>4</v>
      </c>
      <c r="O41">
        <f t="shared" si="3"/>
        <v>1716.666666666667</v>
      </c>
      <c r="P41" s="3">
        <f t="shared" si="4"/>
        <v>202893.15791294305</v>
      </c>
      <c r="Q41" s="3">
        <f t="shared" si="2"/>
        <v>100024.97697185766</v>
      </c>
    </row>
    <row r="42" spans="13:17" x14ac:dyDescent="0.25">
      <c r="M42">
        <v>100</v>
      </c>
      <c r="N42">
        <v>5</v>
      </c>
      <c r="O42">
        <f t="shared" si="3"/>
        <v>1716.666666666667</v>
      </c>
      <c r="P42" s="3">
        <f t="shared" si="4"/>
        <v>206612.86580801365</v>
      </c>
      <c r="Q42" s="3">
        <f t="shared" si="2"/>
        <v>103575.43488300839</v>
      </c>
    </row>
    <row r="43" spans="13:17" x14ac:dyDescent="0.25">
      <c r="M43">
        <v>100</v>
      </c>
      <c r="N43">
        <v>6</v>
      </c>
      <c r="O43">
        <f t="shared" si="3"/>
        <v>1716.666666666667</v>
      </c>
      <c r="P43" s="3">
        <f t="shared" si="4"/>
        <v>210400.76834782722</v>
      </c>
      <c r="Q43" s="3">
        <f t="shared" si="2"/>
        <v>107190.98452253021</v>
      </c>
    </row>
    <row r="44" spans="13:17" x14ac:dyDescent="0.25">
      <c r="M44">
        <v>100</v>
      </c>
      <c r="N44">
        <v>7</v>
      </c>
      <c r="O44">
        <f t="shared" si="3"/>
        <v>1716.666666666667</v>
      </c>
      <c r="P44" s="3">
        <f t="shared" si="4"/>
        <v>214258.11576753738</v>
      </c>
      <c r="Q44" s="3">
        <f t="shared" si="2"/>
        <v>110872.8192387766</v>
      </c>
    </row>
    <row r="45" spans="13:17" x14ac:dyDescent="0.25">
      <c r="M45">
        <v>100</v>
      </c>
      <c r="N45">
        <v>8</v>
      </c>
      <c r="O45">
        <f t="shared" si="3"/>
        <v>1716.666666666667</v>
      </c>
      <c r="P45" s="3">
        <f t="shared" si="4"/>
        <v>218186.18122327558</v>
      </c>
      <c r="Q45" s="3">
        <f t="shared" si="2"/>
        <v>114622.15425815417</v>
      </c>
    </row>
    <row r="46" spans="13:17" x14ac:dyDescent="0.25">
      <c r="M46">
        <v>100</v>
      </c>
      <c r="N46">
        <v>9</v>
      </c>
      <c r="O46">
        <f t="shared" si="3"/>
        <v>1716.666666666667</v>
      </c>
      <c r="P46" s="3">
        <f t="shared" si="4"/>
        <v>222186.26121236896</v>
      </c>
      <c r="Q46" s="3">
        <f t="shared" si="2"/>
        <v>118440.22708622033</v>
      </c>
    </row>
    <row r="47" spans="13:17" x14ac:dyDescent="0.25">
      <c r="M47">
        <v>100</v>
      </c>
      <c r="N47">
        <v>10</v>
      </c>
      <c r="O47">
        <f t="shared" si="3"/>
        <v>1716.666666666667</v>
      </c>
      <c r="P47" s="3">
        <f t="shared" si="4"/>
        <v>226259.67600126239</v>
      </c>
      <c r="Q47" s="3">
        <f t="shared" si="2"/>
        <v>122328.29791613437</v>
      </c>
    </row>
    <row r="48" spans="13:17" x14ac:dyDescent="0.25">
      <c r="M48">
        <v>100</v>
      </c>
      <c r="N48">
        <v>11</v>
      </c>
      <c r="O48">
        <f t="shared" si="3"/>
        <v>1716.666666666667</v>
      </c>
      <c r="P48" s="3">
        <f t="shared" si="4"/>
        <v>230407.77006128553</v>
      </c>
      <c r="Q48" s="3">
        <f t="shared" si="2"/>
        <v>126287.65004459683</v>
      </c>
    </row>
    <row r="49" spans="13:17" x14ac:dyDescent="0.25">
      <c r="M49">
        <v>100</v>
      </c>
      <c r="N49">
        <v>12</v>
      </c>
      <c r="O49">
        <f t="shared" si="3"/>
        <v>1716.666666666667</v>
      </c>
      <c r="P49" s="3">
        <f t="shared" si="4"/>
        <v>234631.91251240909</v>
      </c>
      <c r="Q49" s="3">
        <f t="shared" si="2"/>
        <v>130319.59029541444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61" sqref="E6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900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B188" sqref="B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1</v>
      </c>
      <c r="D186" s="11">
        <f t="shared" ref="D186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opLeftCell="G1" zoomScaleNormal="100" workbookViewId="0">
      <selection activeCell="L22" sqref="L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L25</f>
        <v>79599492</v>
      </c>
      <c r="G14" s="29">
        <f t="shared" si="0"/>
        <v>-6580080.4612188637</v>
      </c>
      <c r="H14" s="11"/>
      <c r="L14" s="25"/>
      <c r="O14" s="25"/>
      <c r="R14" s="25"/>
      <c r="S14" s="29" t="s">
        <v>960</v>
      </c>
      <c r="T14" s="29">
        <v>-1500000</v>
      </c>
      <c r="U14" s="11">
        <v>40</v>
      </c>
      <c r="V14" s="29">
        <f t="shared" si="5"/>
        <v>-60000000</v>
      </c>
      <c r="W14" s="11"/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2716399</v>
      </c>
      <c r="M16" s="11" t="s">
        <v>757</v>
      </c>
      <c r="N16" s="29">
        <f>'مسکن مریم یاران'!B126</f>
        <v>61169293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27671813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-12600000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-10250000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198000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10250000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v>80500000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/>
      <c r="L24" s="11"/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2" t="s">
        <v>599</v>
      </c>
      <c r="L25" s="3">
        <f>SUM(L16:L23)</f>
        <v>79599492</v>
      </c>
      <c r="M25" s="11"/>
      <c r="N25" s="29"/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600</v>
      </c>
      <c r="L26" s="3">
        <f>L16+L17+L20</f>
        <v>3549492</v>
      </c>
      <c r="M26" s="11"/>
      <c r="N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56" t="s">
        <v>719</v>
      </c>
      <c r="L27" s="1">
        <f>L25+N7</f>
        <v>136599492</v>
      </c>
      <c r="M27" s="29" t="s">
        <v>6</v>
      </c>
      <c r="N27" s="29">
        <f>SUM(N16:N26)</f>
        <v>143641106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M29" s="25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6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K32" s="3"/>
      <c r="L32" s="11" t="s">
        <v>305</v>
      </c>
      <c r="M32" s="25"/>
      <c r="N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1" t="s">
        <v>306</v>
      </c>
      <c r="L33" s="1">
        <v>70000</v>
      </c>
      <c r="M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322</v>
      </c>
      <c r="L34" s="1">
        <v>100000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307</v>
      </c>
      <c r="L35" s="1">
        <v>80000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31" t="s">
        <v>308</v>
      </c>
      <c r="L36" s="1">
        <v>150000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309</v>
      </c>
      <c r="L37" s="1">
        <v>300000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310</v>
      </c>
      <c r="L38" s="1">
        <v>100000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311</v>
      </c>
      <c r="L39" s="1">
        <v>200000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18" t="s">
        <v>312</v>
      </c>
      <c r="L40" s="18">
        <v>300000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32" t="s">
        <v>313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314</v>
      </c>
      <c r="L42" s="1">
        <v>20000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316</v>
      </c>
      <c r="L43" s="1">
        <v>50000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317</v>
      </c>
      <c r="L44" s="1">
        <v>90000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318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328</v>
      </c>
      <c r="L46" s="1">
        <v>150000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319</v>
      </c>
      <c r="L47" s="1">
        <v>15000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320</v>
      </c>
      <c r="L48" s="1">
        <v>20000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321</v>
      </c>
      <c r="L49" s="1">
        <v>40000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323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325</v>
      </c>
      <c r="L51" s="1">
        <v>75000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315</v>
      </c>
      <c r="L52" s="1">
        <v>140000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2" t="s">
        <v>479</v>
      </c>
      <c r="L53" s="3">
        <v>830000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/>
      <c r="L54" s="3"/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 t="s">
        <v>6</v>
      </c>
      <c r="L56" s="3">
        <f>SUM(L33:L54)</f>
        <v>3130000</v>
      </c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329</v>
      </c>
      <c r="L57" s="3">
        <f>L56/30</f>
        <v>104333.33333333333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  <c r="K63" s="48" t="s">
        <v>800</v>
      </c>
      <c r="L63" s="48" t="s">
        <v>477</v>
      </c>
    </row>
    <row r="64" spans="1:12" x14ac:dyDescent="0.25">
      <c r="E64" s="26"/>
      <c r="K64" s="47">
        <v>500000</v>
      </c>
      <c r="L64" s="48" t="s">
        <v>480</v>
      </c>
    </row>
    <row r="65" spans="1:12" x14ac:dyDescent="0.25">
      <c r="K65" s="47">
        <v>130000</v>
      </c>
      <c r="L65" s="48" t="s">
        <v>559</v>
      </c>
    </row>
    <row r="66" spans="1:12" x14ac:dyDescent="0.25">
      <c r="K66" s="47">
        <v>300000</v>
      </c>
      <c r="L66" s="48" t="s">
        <v>796</v>
      </c>
    </row>
    <row r="67" spans="1:12" x14ac:dyDescent="0.25">
      <c r="A67" t="s">
        <v>25</v>
      </c>
      <c r="K67" s="47">
        <v>500000</v>
      </c>
      <c r="L67" s="48" t="s">
        <v>797</v>
      </c>
    </row>
    <row r="68" spans="1:12" x14ac:dyDescent="0.25">
      <c r="K68" s="47">
        <v>500000</v>
      </c>
      <c r="L68" s="48" t="s">
        <v>798</v>
      </c>
    </row>
    <row r="69" spans="1:12" x14ac:dyDescent="0.25">
      <c r="K69" s="47">
        <v>75000</v>
      </c>
      <c r="L69" s="48" t="s">
        <v>799</v>
      </c>
    </row>
    <row r="70" spans="1:12" x14ac:dyDescent="0.25">
      <c r="K70" s="47">
        <v>450000</v>
      </c>
      <c r="L70" s="48" t="s">
        <v>801</v>
      </c>
    </row>
    <row r="71" spans="1:12" x14ac:dyDescent="0.25">
      <c r="K71" s="47">
        <v>500000</v>
      </c>
      <c r="L71" s="48" t="s">
        <v>565</v>
      </c>
    </row>
    <row r="72" spans="1:12" x14ac:dyDescent="0.25">
      <c r="K72" s="47">
        <v>50000</v>
      </c>
      <c r="L72" s="48" t="s">
        <v>804</v>
      </c>
    </row>
    <row r="73" spans="1:12" x14ac:dyDescent="0.25">
      <c r="K73" s="47">
        <v>140000</v>
      </c>
      <c r="L73" s="48" t="s">
        <v>315</v>
      </c>
    </row>
    <row r="74" spans="1:12" x14ac:dyDescent="0.25">
      <c r="K74" s="47">
        <f>SUM(K64:K73)</f>
        <v>3145000</v>
      </c>
      <c r="L74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2018-03-16T20:50:22Z</dcterms:modified>
</cp:coreProperties>
</file>