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R10" i="49" l="1"/>
  <c r="S10" i="49"/>
  <c r="R9" i="49"/>
  <c r="P27" i="18" l="1"/>
  <c r="AC34" i="18"/>
  <c r="AD34" i="18" s="1"/>
  <c r="S20" i="18"/>
  <c r="S21" i="18" s="1"/>
  <c r="AC33" i="18" l="1"/>
  <c r="AD33" i="18" s="1"/>
  <c r="P25" i="18"/>
  <c r="N27" i="18" l="1"/>
  <c r="N48" i="18"/>
  <c r="P26" i="18"/>
  <c r="N26" i="18" s="1"/>
  <c r="N25" i="18"/>
  <c r="AI89" i="18" l="1"/>
  <c r="AC32" i="18"/>
  <c r="AD32" i="18" s="1"/>
  <c r="N46" i="18"/>
  <c r="D108" i="50" l="1"/>
  <c r="AC31" i="18" l="1"/>
  <c r="AD31" i="18" s="1"/>
  <c r="AC30" i="18"/>
  <c r="AD30" i="18" s="1"/>
  <c r="AC29" i="18"/>
  <c r="AD29" i="18" s="1"/>
  <c r="P24" i="18" l="1"/>
  <c r="N24" i="18" s="1"/>
  <c r="N47" i="18"/>
  <c r="AC27" i="18" l="1"/>
  <c r="AD27" i="18" s="1"/>
  <c r="AC26" i="18"/>
  <c r="P22" i="18"/>
  <c r="N45" i="18"/>
  <c r="AD26" i="18" l="1"/>
  <c r="AC28" i="18"/>
  <c r="AD28" i="18" s="1"/>
  <c r="C8" i="36"/>
  <c r="Q70" i="18" l="1"/>
  <c r="N40" i="18" l="1"/>
  <c r="AI131" i="18" l="1"/>
  <c r="P23" i="18" l="1"/>
  <c r="N23" i="18" s="1"/>
  <c r="N43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D41" i="18" s="1"/>
  <c r="AK129" i="18"/>
  <c r="AL129" i="18" l="1"/>
  <c r="AK128" i="18"/>
  <c r="S22" i="18"/>
  <c r="S23" i="18" s="1"/>
  <c r="P20" i="18"/>
  <c r="N20" i="18" s="1"/>
  <c r="N44" i="18"/>
  <c r="S24" i="18" l="1"/>
  <c r="S25" i="18" s="1"/>
  <c r="S26" i="18" s="1"/>
  <c r="S27" i="18" s="1"/>
  <c r="S28" i="18" s="1"/>
  <c r="S29" i="18" s="1"/>
  <c r="S30" i="18" s="1"/>
  <c r="S31" i="18" s="1"/>
  <c r="S32" i="18" s="1"/>
  <c r="AK127" i="18"/>
  <c r="AL128" i="18"/>
  <c r="AK126" i="18" l="1"/>
  <c r="AL127" i="18"/>
  <c r="AK125" i="18" l="1"/>
  <c r="AL126" i="18"/>
  <c r="R70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9" i="18" s="1"/>
  <c r="D73" i="48"/>
  <c r="N22" i="18"/>
  <c r="AK122" i="18" l="1"/>
  <c r="AL123" i="18"/>
  <c r="N34" i="18"/>
  <c r="AK121" i="18" l="1"/>
  <c r="AL122" i="18"/>
  <c r="P53" i="18"/>
  <c r="AK120" i="18" l="1"/>
  <c r="AL121" i="18"/>
  <c r="AK119" i="18" l="1"/>
  <c r="AL120" i="18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17" i="18" l="1"/>
  <c r="AL118" i="18"/>
  <c r="P19" i="18"/>
  <c r="N19" i="18" s="1"/>
  <c r="Q34" i="18" s="1"/>
  <c r="B263" i="15"/>
  <c r="AI135" i="18" l="1"/>
  <c r="AI136" i="18" s="1"/>
  <c r="AL117" i="18"/>
  <c r="AK116" i="18"/>
  <c r="S44" i="18"/>
  <c r="S45" i="18" s="1"/>
  <c r="AK115" i="18" l="1"/>
  <c r="AL116" i="18"/>
  <c r="S46" i="18"/>
  <c r="AL115" i="18" l="1"/>
  <c r="AK114" i="18"/>
  <c r="P42" i="18"/>
  <c r="AL114" i="18" l="1"/>
  <c r="AK113" i="18"/>
  <c r="AK112" i="18" l="1"/>
  <c r="AL113" i="18"/>
  <c r="C267" i="20"/>
  <c r="AK111" i="18" l="1"/>
  <c r="AL112" i="18"/>
  <c r="B8" i="36"/>
  <c r="AK110" i="18" l="1"/>
  <c r="AL111" i="18"/>
  <c r="B10" i="36"/>
  <c r="AK109" i="18" l="1"/>
  <c r="AL110" i="18"/>
  <c r="S47" i="18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l="1"/>
  <c r="S60" i="18" s="1"/>
  <c r="S61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3" i="18"/>
  <c r="AK76" i="18" l="1"/>
  <c r="AL77" i="18"/>
  <c r="AK75" i="18" l="1"/>
  <c r="AL76" i="18"/>
  <c r="N41" i="18"/>
  <c r="Q65" i="18" s="1"/>
  <c r="AI95" i="18" l="1"/>
  <c r="AI96" i="18" s="1"/>
  <c r="AK74" i="18"/>
  <c r="AL75" i="18"/>
  <c r="AK73" i="18" l="1"/>
  <c r="AL74" i="18"/>
  <c r="R76" i="18"/>
  <c r="V32" i="18" l="1"/>
  <c r="V30" i="18"/>
  <c r="V31" i="18"/>
  <c r="V60" i="18"/>
  <c r="V61" i="18"/>
  <c r="V28" i="18"/>
  <c r="V29" i="18"/>
  <c r="V59" i="18"/>
  <c r="V27" i="18"/>
  <c r="V58" i="18"/>
  <c r="V57" i="18"/>
  <c r="V56" i="18"/>
  <c r="V55" i="18"/>
  <c r="V26" i="18"/>
  <c r="V54" i="18"/>
  <c r="V25" i="18"/>
  <c r="V53" i="18"/>
  <c r="V51" i="18"/>
  <c r="V52" i="18"/>
  <c r="V49" i="18"/>
  <c r="V50" i="18"/>
  <c r="V48" i="18"/>
  <c r="V21" i="18"/>
  <c r="V23" i="18"/>
  <c r="V43" i="18"/>
  <c r="V24" i="18"/>
  <c r="V20" i="18"/>
  <c r="V22" i="18"/>
  <c r="V44" i="18"/>
  <c r="V45" i="18"/>
  <c r="V46" i="18"/>
  <c r="V47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6" i="18" l="1"/>
  <c r="L55" i="18"/>
  <c r="E33" i="13"/>
  <c r="G34" i="13"/>
  <c r="I97" i="20"/>
  <c r="K97" i="20"/>
  <c r="J97" i="20"/>
  <c r="F108" i="15"/>
  <c r="C20" i="18"/>
  <c r="G20" i="14"/>
  <c r="G21" i="14"/>
  <c r="L5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<sst xmlns="http://schemas.openxmlformats.org/spreadsheetml/2006/main" count="9519" uniqueCount="4517">
  <si>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</si>
  <si>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</si>
  <si>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</si>
  <si>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</si>
  <si>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</si>
  <si>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</si>
  <si>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</si>
  <si>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</si>
  <si>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</si>
  <si>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</si>
  <si>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</si>
  <si>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</si>
  <si>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</si>
  <si>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</si>
  <si>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</si>
  <si>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</si>
  <si>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</si>
  <si>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</si>
  <si>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</si>
  <si>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</si>
  <si>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</si>
  <si>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</si>
  <si>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</si>
  <si>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</si>
  <si>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</si>
  <si>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</si>
  <si>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</si>
  <si>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</si>
  <si>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</si>
  <si>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</si>
  <si>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</si>
  <si>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</si>
  <si>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</si>
  <si>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</si>
  <si>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</si>
  <si>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</si>
  <si>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</si>
  <si>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</si>
  <si>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</si>
  <si>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</si>
  <si>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</si>
  <si>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</si>
  <si>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</si>
  <si>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</si>
  <si>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</si>
  <si>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</si>
  <si>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</si>
  <si>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</si>
  <si>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</si>
  <si>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</si>
  <si>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</si>
  <si>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</si>
  <si>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</si>
  <si>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</si>
  <si>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</si>
  <si>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</si>
  <si>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</si>
  <si>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</si>
  <si>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</si>
  <si>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</si>
  <si>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</si>
  <si>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</si>
  <si>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</si>
  <si>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</si>
  <si>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</si>
  <si>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</si>
  <si>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</si>
  <si>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</si>
  <si>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</si>
  <si>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</si>
  <si>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</si>
  <si>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</si>
  <si>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</si>
  <si>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</si>
  <si>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</si>
  <si>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</si>
  <si>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</si>
  <si>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</si>
  <si>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</si>
  <si>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</si>
  <si>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</si>
  <si>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</si>
  <si>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</si>
  <si>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</si>
  <si>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</si>
  <si>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</si>
  <si>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</si>
  <si>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</si>
  <si>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</si>
  <si>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</si>
  <si>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</si>
  <si>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</si>
  <si>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</si>
  <si>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</si>
  <si>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</si>
  <si>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</si>
  <si>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</si>
  <si>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</si>
  <si>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</si>
  <si>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</si>
  <si>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</si>
  <si>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</si>
  <si>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</si>
  <si>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</si>
  <si>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</si>
  <si>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</si>
  <si>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</si>
  <si>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</si>
  <si>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</si>
  <si>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</si>
  <si>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</si>
  <si>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</si>
  <si>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</si>
  <si>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</si>
  <si>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</si>
  <si>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</si>
  <si>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</si>
  <si>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</si>
  <si>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</si>
  <si>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</si>
  <si>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</si>
  <si>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</si>
  <si>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</si>
  <si>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</si>
  <si>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</si>
  <si>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</si>
  <si>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</si>
  <si>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</si>
  <si>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</si>
  <si>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</si>
  <si>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</si>
  <si>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</si>
  <si>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</si>
  <si>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</si>
  <si>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</si>
  <si>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</si>
  <si>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</si>
  <si>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</si>
  <si>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</si>
  <si>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</si>
  <si>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</si>
  <si>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</si>
  <si>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</si>
  <si>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</si>
  <si>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</si>
  <si>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</si>
  <si>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</si>
  <si>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</si>
  <si>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</si>
  <si>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</si>
  <si>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</si>
  <si>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</si>
  <si>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</si>
  <si>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</si>
  <si>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</si>
  <si>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</si>
  <si>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</si>
  <si>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</si>
  <si>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</si>
  <si>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</si>
  <si>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</si>
  <si>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</si>
  <si>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</si>
  <si>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</si>
  <si>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</si>
  <si>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</si>
  <si>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</si>
  <si>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</si>
  <si>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</si>
  <si>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</si>
  <si>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</si>
  <si>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</si>
  <si>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</si>
  <si>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</si>
  <si>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</si>
  <si>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</si>
  <si>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</si>
  <si>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</si>
  <si>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</si>
  <si>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</si>
  <si>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</si>
  <si>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</si>
  <si>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</si>
  <si>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</si>
  <si>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</si>
  <si>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</si>
  <si>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</si>
  <si>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</si>
  <si>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</si>
  <si>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</si>
  <si>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</si>
  <si>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</si>
  <si>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</si>
  <si>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</si>
  <si>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</si>
  <si>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</si>
  <si>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</si>
  <si>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</si>
  <si>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</si>
  <si>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</si>
  <si>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</si>
  <si>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</si>
  <si>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</si>
  <si>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</si>
  <si>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</si>
  <si>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</si>
  <si>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</si>
  <si>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</si>
  <si>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</si>
  <si>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</si>
  <si>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</si>
  <si>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</si>
  <si>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</si>
  <si>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</si>
  <si>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</si>
  <si>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</si>
  <si>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</si>
  <si>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</si>
  <si>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</si>
  <si>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</si>
  <si>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</si>
  <si>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</si>
  <si>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</si>
  <si>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</si>
  <si>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</si>
  <si>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</si>
  <si>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</si>
  <si>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</si>
  <si>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</si>
  <si>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</si>
  <si>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</si>
  <si>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</si>
  <si>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</si>
  <si>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</si>
  <si>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</si>
  <si>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</si>
  <si>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</si>
  <si>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</si>
  <si>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</si>
  <si>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</si>
  <si>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</si>
  <si>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</si>
  <si>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</si>
  <si>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</si>
  <si>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</si>
  <si>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</si>
  <si>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</si>
  <si>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</si>
  <si>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</si>
  <si>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</si>
  <si>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</si>
  <si>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</si>
  <si>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</si>
  <si>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</si>
  <si>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</si>
  <si>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</si>
  <si>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</si>
  <si>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</si>
  <si>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</si>
  <si>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</si>
  <si>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</si>
  <si>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</si>
  <si>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</si>
  <si>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</si>
  <si>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</si>
  <si>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</si>
  <si>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</si>
  <si>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</si>
  <si>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</si>
  <si>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</si>
  <si>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</si>
  <si>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</si>
  <si>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</si>
  <si>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</si>
  <si>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</si>
  <si>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</si>
  <si>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</si>
  <si>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</si>
  <si>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</si>
  <si>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</si>
  <si>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</si>
  <si>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</si>
  <si>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</si>
  <si>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</si>
  <si>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</si>
  <si>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</si>
  <si>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</si>
  <si>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</si>
  <si>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</si>
  <si>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</si>
  <si>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</si>
  <si>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</si>
  <si>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</si>
  <si>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</si>
  <si>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</si>
  <si>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</si>
  <si>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</si>
  <si>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</si>
  <si>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</si>
  <si>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</si>
  <si>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</si>
  <si>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</si>
  <si>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</si>
  <si>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</si>
  <si>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</si>
  <si>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</si>
  <si>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</si>
  <si>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</si>
  <si>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</si>
  <si>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</si>
  <si>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</si>
  <si>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</si>
  <si>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</si>
  <si>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</si>
  <si>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</si>
  <si>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</si>
  <si>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</si>
  <si>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</si>
  <si>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</si>
  <si>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</si>
  <si>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</si>
  <si>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</si>
  <si>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</si>
  <si>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</si>
  <si>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</si>
  <si>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</si>
  <si>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</si>
  <si>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</si>
  <si>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</si>
  <si>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</si>
  <si>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</si>
  <si>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</si>
  <si>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</si>
  <si>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</si>
  <si>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</si>
  <si>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</si>
  <si>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</si>
  <si>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</si>
  <si>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</si>
  <si>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</si>
  <si>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</si>
  <si>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</si>
  <si>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</si>
  <si>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</si>
  <si>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</si>
  <si>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</si>
  <si>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</si>
  <si>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</si>
  <si>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</si>
  <si>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</si>
  <si>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</si>
  <si>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</si>
  <si>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</si>
  <si>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</si>
  <si>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</si>
  <si>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</si>
  <si>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</si>
  <si>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</si>
  <si>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</si>
  <si>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</si>
  <si>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</si>
  <si>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</si>
  <si>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</si>
  <si>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</si>
  <si>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</si>
  <si>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</si>
  <si>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</si>
  <si>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</si>
  <si>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</si>
  <si>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</si>
  <si>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</si>
  <si>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</si>
  <si>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</si>
  <si>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</si>
  <si>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</si>
  <si>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</si>
  <si>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</si>
  <si>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</si>
  <si>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</si>
  <si>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</si>
  <si>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</si>
  <si>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</si>
  <si>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</si>
  <si>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</si>
  <si>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</si>
  <si>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</si>
  <si>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</si>
  <si>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</si>
  <si>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</si>
  <si>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</si>
  <si>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</si>
  <si>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</si>
  <si>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</si>
  <si>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</si>
  <si>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</si>
  <si>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</si>
  <si>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</si>
  <si>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</si>
  <si>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</si>
  <si>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</si>
  <si>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</si>
  <si>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</si>
  <si>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</si>
  <si>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</si>
  <si>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</si>
  <si>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</si>
  <si>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</si>
  <si>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</si>
  <si>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</si>
  <si>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</si>
  <si>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</si>
  <si>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</si>
  <si>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</si>
  <si>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</si>
  <si>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</si>
  <si>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</si>
  <si>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</si>
  <si>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</si>
  <si>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</si>
  <si>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</si>
  <si>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</si>
  <si>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</si>
  <si>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</si>
  <si>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</si>
  <si>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</si>
  <si>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</si>
  <si>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</si>
  <si>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</si>
  <si>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</si>
  <si>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</si>
  <si>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</si>
  <si>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</si>
  <si>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</si>
  <si>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</si>
  <si>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</si>
  <si>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</si>
  <si>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</si>
  <si>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</si>
  <si>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</si>
  <si>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</si>
  <si>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</si>
  <si>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</si>
  <si>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</si>
  <si>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</si>
  <si>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</si>
  <si>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</si>
  <si>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</si>
  <si>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</si>
  <si>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</si>
  <si>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</si>
  <si>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</si>
  <si>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</si>
  <si>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</si>
  <si>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</si>
  <si>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</si>
  <si>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</si>
  <si>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</si>
  <si>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</si>
  <si>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</si>
  <si>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</si>
  <si>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</si>
  <si>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</si>
  <si>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</si>
  <si>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</si>
  <si>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</si>
  <si>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</si>
  <si>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</si>
  <si>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</si>
  <si>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</si>
  <si>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</si>
  <si>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</si>
  <si>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</si>
  <si>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</si>
  <si>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</si>
  <si>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</si>
  <si>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</si>
  <si>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</si>
  <si>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</si>
  <si>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</si>
  <si>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</si>
  <si>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</si>
  <si>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</si>
  <si>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</si>
  <si>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</si>
  <si>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</si>
  <si>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</si>
  <si>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</si>
  <si>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</si>
  <si>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</si>
  <si>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</si>
  <si>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</si>
  <si>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</si>
  <si>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</si>
  <si>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</si>
  <si>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</si>
  <si>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</si>
  <si>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</si>
  <si>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</si>
  <si>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</si>
  <si>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</si>
  <si>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</si>
  <si>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</si>
  <si>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</si>
  <si>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</si>
  <si>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</si>
  <si>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</si>
  <si>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</si>
  <si>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</si>
  <si>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</si>
  <si>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</si>
  <si>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</si>
  <si>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</si>
  <si>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</si>
  <si>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</si>
  <si>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</si>
  <si>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</si>
  <si>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</si>
  <si>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</si>
  <si>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</si>
  <si>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</si>
  <si>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</si>
  <si>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</si>
  <si>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</si>
  <si>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</si>
  <si>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</si>
  <si>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</si>
  <si>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</si>
  <si>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</si>
  <si>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</si>
  <si>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</si>
  <si>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</si>
  <si>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</si>
  <si>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</si>
  <si>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</si>
  <si>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</si>
  <si>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</si>
  <si>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</si>
  <si>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</si>
  <si>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</si>
  <si>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</si>
  <si>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</si>
  <si>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</si>
  <si>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</si>
  <si>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</si>
  <si>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</si>
  <si>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</si>
  <si>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</si>
  <si>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</si>
  <si>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</si>
  <si>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</si>
  <si>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</si>
  <si>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</si>
  <si>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</si>
  <si>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</si>
  <si>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</si>
  <si>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</si>
  <si>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</si>
  <si>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</si>
  <si>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</si>
  <si>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</si>
  <si>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</si>
  <si>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</si>
  <si>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</si>
  <si>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</si>
  <si>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</si>
  <si>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</si>
  <si>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</si>
  <si>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</si>
  <si>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</si>
  <si>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</si>
  <si>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</si>
  <si>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</si>
  <si>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</si>
  <si>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</si>
  <si>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</si>
  <si>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</si>
  <si>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</si>
  <si>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</si>
  <si>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</si>
  <si>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</si>
  <si>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</si>
  <si>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</si>
  <si>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</si>
  <si>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</si>
  <si>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</si>
  <si>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</si>
  <si>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</si>
  <si>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</si>
  <si>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</si>
  <si>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</si>
  <si>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</si>
  <si>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</si>
  <si>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</si>
  <si>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</si>
  <si>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</si>
  <si>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</si>
  <si>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</si>
  <si>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</si>
  <si>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</si>
  <si>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</si>
  <si>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</si>
  <si>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</si>
  <si>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</si>
  <si>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</si>
  <si>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</si>
  <si>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</si>
  <si>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</si>
  <si>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</si>
  <si>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</si>
  <si>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</si>
  <si>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</si>
  <si>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</si>
  <si>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</si>
  <si>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</si>
  <si>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</si>
  <si>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</si>
  <si>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</si>
  <si>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</si>
  <si>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</si>
  <si>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</si>
  <si>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</si>
  <si>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</si>
  <si>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</si>
  <si>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</si>
  <si>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</si>
  <si>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</si>
  <si>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</si>
  <si>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</si>
  <si>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</si>
  <si>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</si>
  <si>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</si>
  <si>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</si>
  <si>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</si>
  <si>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</si>
  <si>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</si>
  <si>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</si>
  <si>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</si>
  <si>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</si>
  <si>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</si>
  <si>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</si>
  <si>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</si>
  <si>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</si>
  <si>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</si>
  <si>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</si>
  <si>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</si>
  <si>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</si>
  <si>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</si>
  <si>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</si>
  <si>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</si>
  <si>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</si>
  <si>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</si>
  <si>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</si>
  <si>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</si>
  <si>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</si>
  <si>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</si>
  <si>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</si>
  <si>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</si>
  <si>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</si>
  <si>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</si>
  <si>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</si>
  <si>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</si>
  <si>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</si>
  <si>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</si>
  <si>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</si>
  <si>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</si>
  <si>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</si>
  <si>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</si>
  <si>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</si>
  <si>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</si>
  <si>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</si>
  <si>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</si>
  <si>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</si>
  <si>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</si>
  <si>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</si>
  <si>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</si>
  <si>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</si>
  <si>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</si>
  <si>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</si>
  <si>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</si>
  <si>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</si>
  <si>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</si>
  <si>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</si>
  <si>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</si>
  <si>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</si>
  <si>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</si>
  <si>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</si>
  <si>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</si>
  <si>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</si>
  <si>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</si>
  <si>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</si>
  <si>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</si>
  <si>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</si>
  <si>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</si>
  <si>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</si>
  <si>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</si>
  <si>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</si>
  <si>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</si>
  <si>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</si>
  <si>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</si>
  <si>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</si>
  <si>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</si>
  <si>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</si>
  <si>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</si>
  <si>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</si>
  <si>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</si>
  <si>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</si>
  <si>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</si>
  <si>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</si>
  <si>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</si>
  <si>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</si>
  <si>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</si>
  <si>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</si>
  <si>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</si>
  <si>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</si>
  <si>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</si>
  <si>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</si>
  <si>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</si>
  <si>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</si>
  <si>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</si>
  <si>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</si>
  <si>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</si>
  <si>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</si>
  <si>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</si>
  <si>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</si>
  <si>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</si>
  <si>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</si>
  <si>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</si>
  <si>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</si>
  <si>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</si>
  <si>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</si>
  <si>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</si>
  <si>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</si>
  <si>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</si>
  <si>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</si>
  <si>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</si>
  <si>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</si>
  <si>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</si>
  <si>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</si>
  <si>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</si>
  <si>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</si>
  <si>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</si>
  <si>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</si>
  <si>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</si>
  <si>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</si>
  <si>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</si>
  <si>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</si>
  <si>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</si>
  <si>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</si>
  <si>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</si>
  <si>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</si>
  <si>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</si>
  <si>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</si>
  <si>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</si>
  <si>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</si>
  <si>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</si>
  <si>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</si>
  <si>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</si>
  <si>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</si>
  <si>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</si>
  <si>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</si>
  <si>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</si>
  <si>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</si>
  <si>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</si>
  <si>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</si>
  <si>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</si>
  <si>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</si>
  <si>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</si>
  <si>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</si>
  <si>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</si>
  <si>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</si>
  <si>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</si>
  <si>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</si>
  <si>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</si>
  <si>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</si>
  <si>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</si>
  <si>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</si>
  <si>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</si>
  <si>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</si>
  <si>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</si>
  <si>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</si>
  <si>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</si>
  <si>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</si>
  <si>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</si>
  <si>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</si>
  <si>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</si>
  <si>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</si>
  <si>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</si>
  <si>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</si>
  <si>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</si>
  <si>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</si>
  <si>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</si>
  <si>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</si>
  <si>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</si>
  <si>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</si>
  <si>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</si>
  <si>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</si>
  <si>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</si>
  <si>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</si>
  <si>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</si>
  <si>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</si>
  <si>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</si>
  <si>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</si>
  <si>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</si>
  <si>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</si>
  <si>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</si>
  <si>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</si>
  <si>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</si>
  <si>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</si>
  <si>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</si>
  <si>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</si>
  <si>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</si>
  <si>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</si>
  <si>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</si>
  <si>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</si>
  <si>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</si>
  <si>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</si>
  <si>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</si>
  <si>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</si>
  <si>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</si>
  <si>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</si>
  <si>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</si>
  <si>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</si>
  <si>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</si>
  <si>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</si>
  <si>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</si>
  <si>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</si>
  <si>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</si>
  <si>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</si>
  <si>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</si>
  <si>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</si>
  <si>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</si>
  <si>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</si>
  <si>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</si>
  <si>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</si>
  <si>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</si>
  <si>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</si>
  <si>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</si>
  <si>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</si>
  <si>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</si>
  <si>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</si>
  <si>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</si>
  <si>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</si>
  <si>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</si>
  <si>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</si>
  <si>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</si>
  <si>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</si>
  <si>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</si>
  <si>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</si>
  <si>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</si>
  <si>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</si>
  <si>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</si>
  <si>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</si>
  <si>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</si>
  <si>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</si>
  <si>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</si>
  <si>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</si>
  <si>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</si>
  <si>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</si>
  <si>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</si>
  <si>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</si>
  <si>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</si>
  <si>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</si>
  <si>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</si>
  <si>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</si>
  <si>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</si>
  <si>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</si>
  <si>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</si>
  <si>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</si>
  <si>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</si>
  <si>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</si>
  <si>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</si>
  <si>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</si>
  <si>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</si>
  <si>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</si>
  <si>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</si>
  <si>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</si>
  <si>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</si>
  <si>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</si>
  <si>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</si>
  <si>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</si>
  <si>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</si>
  <si>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</si>
  <si>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</si>
  <si>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</si>
  <si>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</si>
  <si>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</si>
  <si>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</si>
  <si>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</si>
  <si>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</si>
  <si>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</si>
  <si>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</si>
  <si>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</si>
  <si>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</si>
  <si>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</si>
  <si>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</si>
  <si>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</si>
  <si>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</si>
  <si>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</si>
  <si>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</si>
  <si>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</si>
  <si>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</si>
  <si>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</si>
  <si>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</si>
  <si>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</si>
  <si>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</si>
  <si>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</si>
  <si>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</si>
  <si>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</si>
  <si>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</si>
  <si>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</si>
  <si>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</si>
  <si>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</si>
  <si>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</si>
  <si>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</si>
  <si>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</si>
  <si>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</si>
  <si>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</si>
  <si>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</si>
  <si>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</si>
  <si>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</si>
  <si>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</si>
  <si>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</si>
  <si>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</si>
  <si>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</si>
  <si>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</si>
  <si>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</si>
  <si>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</si>
  <si>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</si>
  <si>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</si>
  <si>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</si>
  <si>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</si>
  <si>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</si>
  <si>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</si>
  <si>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</si>
  <si>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</si>
  <si>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</si>
  <si>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</si>
  <si>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</si>
  <si>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</si>
  <si>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</si>
  <si>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</si>
  <si>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</si>
  <si>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</si>
  <si>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</si>
  <si>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</si>
  <si>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</si>
  <si>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</si>
  <si>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</si>
  <si>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</si>
  <si>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</si>
  <si>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</si>
  <si>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</si>
  <si>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</si>
  <si>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</si>
  <si>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</si>
  <si>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</si>
  <si>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</si>
  <si>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</si>
  <si>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</si>
  <si>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</si>
  <si>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</si>
  <si>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</si>
  <si>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</si>
  <si>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</si>
  <si>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</si>
  <si>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</si>
  <si>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</si>
  <si>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</si>
  <si>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</si>
  <si>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</si>
  <si>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</si>
  <si>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</si>
  <si>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</si>
  <si>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</si>
  <si>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</si>
  <si>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</si>
  <si>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</si>
  <si>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</si>
  <si>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</si>
  <si>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</si>
  <si>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</si>
  <si>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</si>
  <si>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</si>
  <si>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</si>
  <si>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</si>
  <si>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</si>
  <si>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</si>
  <si>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</si>
  <si>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</si>
  <si>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</si>
  <si>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</si>
  <si>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</si>
  <si>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</si>
  <si>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</si>
  <si>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</si>
  <si>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</si>
  <si>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</si>
  <si>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</si>
  <si>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</si>
  <si>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</si>
  <si>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</si>
  <si>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</si>
  <si>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</si>
  <si>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</si>
  <si>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</si>
  <si>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</si>
  <si>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</si>
  <si>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</si>
  <si>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</si>
  <si>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</si>
  <si>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</si>
  <si>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</si>
  <si>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</si>
  <si>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</si>
  <si>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</si>
  <si>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</si>
  <si>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</si>
  <si>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</si>
  <si>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</si>
  <si>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</si>
  <si>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</si>
  <si>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</si>
  <si>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</si>
  <si>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</si>
  <si>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</si>
  <si>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</si>
  <si>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</si>
  <si>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</si>
  <si>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</si>
  <si>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</si>
  <si>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</si>
  <si>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</si>
  <si>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</si>
  <si>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</si>
  <si>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</si>
  <si>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</si>
  <si>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</si>
  <si>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</si>
  <si>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</si>
  <si>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</si>
  <si>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</si>
  <si>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</si>
  <si>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</si>
  <si>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</si>
  <si>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</si>
  <si>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</si>
  <si>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</si>
  <si>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</si>
  <si>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</si>
  <si>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</si>
  <si>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</si>
  <si>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</si>
  <si>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</si>
  <si>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</si>
  <si>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</si>
  <si>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</si>
  <si>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</si>
  <si>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</si>
  <si>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</si>
  <si>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</si>
  <si>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</si>
  <si>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</si>
  <si>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</si>
  <si>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</si>
  <si>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</si>
  <si>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</si>
  <si>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</si>
  <si>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</si>
  <si>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</si>
  <si>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</si>
  <si>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</si>
  <si>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</si>
  <si>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</si>
  <si>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</si>
  <si>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</si>
  <si>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</si>
  <si>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</si>
  <si>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</si>
  <si>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</si>
  <si>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</si>
  <si>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</si>
  <si>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</si>
  <si>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</si>
  <si>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</si>
  <si>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</si>
  <si>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</si>
  <si>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</si>
  <si>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</si>
  <si>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</si>
  <si>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</si>
  <si>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</si>
  <si>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</si>
  <si>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</si>
  <si>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</si>
  <si>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</si>
  <si>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</si>
  <si>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</si>
  <si>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</si>
  <si>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</si>
  <si>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</si>
  <si>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</si>
  <si>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</si>
  <si>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</si>
  <si>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</si>
  <si>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</si>
  <si>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</si>
  <si>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</si>
  <si>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</si>
  <si>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</si>
  <si>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</si>
  <si>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</si>
  <si>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</si>
  <si>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</si>
  <si>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</si>
  <si>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</si>
  <si>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</si>
  <si>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</si>
  <si>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</si>
  <si>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</si>
  <si>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</si>
  <si>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</si>
  <si>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</si>
  <si>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</si>
  <si>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</si>
  <si>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</si>
  <si>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</si>
  <si>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</si>
  <si>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</si>
  <si>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</si>
  <si>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</si>
  <si>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</si>
  <si>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</si>
  <si>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</si>
  <si>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</si>
  <si>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</si>
  <si>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</si>
  <si>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</si>
  <si>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</si>
  <si>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</si>
  <si>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</si>
  <si>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</si>
  <si>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</si>
  <si>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</si>
  <si>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</si>
  <si>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</si>
  <si>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</si>
  <si>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</si>
  <si>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</si>
  <si>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</si>
  <si>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</si>
  <si>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</si>
  <si>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</si>
  <si>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</si>
  <si>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</si>
  <si>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</si>
  <si>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</si>
  <si>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</si>
  <si>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</si>
  <si>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</si>
  <si>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</si>
  <si>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</si>
  <si>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</si>
  <si>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</si>
  <si>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</si>
  <si>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</si>
  <si>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</si>
  <si>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</si>
  <si>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</si>
  <si>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</si>
  <si>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</si>
  <si>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</si>
  <si>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</si>
  <si>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</si>
  <si>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</si>
  <si>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</si>
  <si>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</si>
  <si>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</si>
  <si>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</si>
  <si>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</si>
  <si>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</si>
  <si>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</si>
  <si>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</si>
  <si>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</si>
  <si>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</si>
  <si>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</si>
  <si>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</si>
  <si>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</si>
  <si>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</si>
  <si>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</si>
  <si>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</si>
  <si>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</si>
  <si>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</si>
  <si>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</si>
  <si>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</si>
  <si>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</si>
  <si>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</si>
  <si>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</si>
  <si>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</si>
  <si>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</si>
  <si>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</si>
  <si>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</si>
  <si>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</si>
  <si>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</si>
  <si>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</si>
  <si>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</si>
  <si>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</si>
  <si>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</si>
  <si>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</si>
  <si>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</si>
  <si>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</si>
  <si>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</si>
  <si>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</si>
  <si>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</si>
  <si>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</si>
  <si>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</si>
  <si>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</si>
  <si>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</si>
  <si>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</si>
  <si>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</si>
  <si>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</si>
  <si>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</si>
  <si>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</si>
  <si>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</si>
  <si>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</si>
  <si>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</si>
  <si>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</si>
  <si>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</si>
  <si>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</si>
  <si>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</si>
  <si>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</si>
  <si>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</si>
  <si>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</si>
  <si>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</si>
  <si>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</si>
  <si>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</si>
  <si>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</si>
  <si>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</si>
  <si>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</si>
  <si>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</si>
  <si>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</si>
  <si>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</si>
  <si>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</si>
  <si>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</si>
  <si>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</si>
  <si>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</si>
  <si>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</si>
  <si>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</si>
  <si>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</si>
  <si>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</si>
  <si>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</si>
  <si>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</si>
  <si>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</si>
  <si>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</si>
  <si>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</si>
  <si>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</si>
  <si>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</si>
  <si>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</si>
  <si>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</si>
  <si>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</si>
  <si>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</si>
  <si>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</si>
  <si>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</si>
  <si>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</si>
  <si>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</si>
  <si>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</si>
  <si>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</si>
  <si>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</si>
  <si>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</si>
  <si>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</si>
  <si>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</si>
  <si>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</si>
  <si>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</si>
  <si>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</si>
  <si>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</si>
  <si>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</si>
  <si>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</si>
  <si>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</si>
  <si>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</si>
  <si>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</si>
  <si>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</si>
  <si>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</si>
  <si>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</si>
  <si>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</si>
  <si>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</si>
  <si>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</si>
  <si>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</si>
  <si>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</si>
  <si>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</si>
  <si>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</si>
  <si>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</si>
  <si>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</si>
  <si>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</si>
  <si>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</si>
  <si>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</si>
  <si>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</si>
  <si>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</si>
  <si>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</si>
  <si>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</si>
  <si>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</si>
  <si>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</si>
  <si>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</si>
  <si>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</si>
  <si>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</si>
  <si>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</si>
  <si>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</si>
  <si>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</si>
  <si>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</si>
  <si>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</si>
  <si>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</si>
  <si>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</si>
  <si>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</si>
  <si>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</si>
  <si>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</si>
  <si>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</si>
  <si>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</si>
  <si>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</si>
  <si>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</si>
  <si>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</si>
  <si>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</si>
  <si>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</si>
  <si>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</si>
  <si>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</si>
  <si>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</si>
  <si>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</si>
  <si>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</si>
  <si>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</si>
  <si>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</si>
  <si>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</si>
  <si>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</si>
  <si>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</si>
  <si>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</si>
  <si>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</si>
  <si>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</si>
  <si>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</si>
  <si>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</si>
  <si>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</si>
  <si>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</si>
  <si>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</si>
  <si>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</si>
  <si>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</si>
  <si>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</si>
  <si>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</si>
  <si>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</si>
  <si>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</si>
  <si>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</si>
  <si>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</si>
  <si>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</si>
  <si>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</si>
  <si>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</si>
  <si>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</si>
  <si>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</si>
  <si>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</si>
  <si>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</si>
  <si>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</si>
  <si>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</si>
  <si>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</si>
  <si>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</si>
  <si>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</si>
  <si>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</si>
  <si>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</si>
  <si>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</si>
  <si>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</si>
  <si>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</si>
  <si>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</si>
  <si>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</si>
  <si>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</si>
  <si>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</si>
  <si>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</si>
  <si>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</si>
  <si>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</si>
  <si>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</si>
  <si>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</si>
  <si>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</si>
  <si>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</si>
  <si>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</si>
  <si>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</si>
  <si>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</si>
  <si>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</si>
  <si>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</si>
  <si>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</si>
  <si>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</si>
  <si>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</si>
  <si>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</si>
  <si>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</si>
  <si>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</si>
  <si>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</si>
  <si>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</si>
  <si>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</si>
  <si>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</si>
  <si>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</si>
  <si>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</si>
  <si>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</si>
  <si>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</si>
  <si>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</si>
  <si>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</si>
  <si>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</si>
  <si>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</si>
  <si>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</si>
  <si>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</si>
  <si>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</si>
  <si>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</si>
  <si>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</si>
  <si>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</si>
  <si>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</si>
  <si>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</si>
  <si>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</si>
  <si>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</si>
  <si>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</si>
  <si>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</si>
  <si>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</si>
  <si>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</si>
  <si>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</si>
  <si>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</si>
  <si>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</si>
  <si>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</si>
  <si>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</si>
  <si>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</si>
  <si>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</si>
  <si>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</si>
  <si>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</si>
  <si>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</si>
  <si>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</si>
  <si>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</si>
  <si>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</si>
  <si>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</si>
  <si>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</si>
  <si>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</si>
  <si>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</si>
  <si>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</si>
  <si>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</si>
  <si>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</si>
  <si>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</si>
  <si>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</si>
  <si>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</si>
  <si>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</si>
  <si>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</si>
  <si>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</si>
  <si>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</si>
  <si>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</si>
  <si>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</si>
  <si>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</si>
  <si>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</si>
  <si>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</si>
  <si>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</si>
  <si>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</si>
  <si>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</si>
  <si>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</si>
  <si>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</si>
  <si>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</si>
  <si>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</si>
  <si>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</si>
  <si>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</si>
  <si>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</si>
  <si>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</si>
  <si>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</si>
  <si>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</si>
  <si>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</si>
  <si>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</si>
  <si>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</si>
  <si>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</si>
  <si>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</si>
  <si>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</si>
  <si>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</si>
  <si>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</si>
  <si>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</si>
  <si>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</si>
  <si>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</si>
  <si>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</si>
  <si>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</si>
  <si>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</si>
  <si>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</si>
  <si>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</si>
  <si>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</si>
  <si>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</si>
  <si>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</si>
  <si>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</si>
  <si>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</si>
  <si>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</si>
  <si>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</si>
  <si>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</si>
  <si>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</si>
  <si>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</si>
  <si>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</si>
  <si>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</si>
  <si>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</si>
  <si>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</si>
  <si>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</si>
  <si>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</si>
  <si>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</si>
  <si>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</si>
  <si>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</si>
  <si>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</si>
  <si>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</si>
  <si>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</si>
  <si>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</si>
  <si>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</si>
  <si>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</si>
  <si>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</si>
  <si>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</si>
  <si>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</si>
  <si>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</si>
  <si>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</si>
  <si>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</si>
  <si>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</si>
  <si>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</si>
  <si>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</si>
  <si>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</si>
  <si>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</si>
  <si>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</si>
  <si>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</si>
  <si>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</si>
  <si>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</si>
  <si>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</si>
  <si>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</si>
  <si>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</si>
  <si>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</si>
  <si>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</si>
  <si>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</si>
  <si>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</si>
  <si>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</si>
  <si>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</si>
  <si>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</si>
  <si>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</si>
  <si>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</si>
  <si>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</si>
  <si>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</si>
  <si>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</si>
  <si>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</si>
  <si>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</si>
  <si>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</si>
  <si>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</si>
  <si>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</si>
  <si>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</si>
  <si>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</si>
  <si>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</si>
  <si>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</si>
  <si>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</si>
  <si>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</si>
  <si>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</si>
  <si>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</si>
  <si>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</si>
  <si>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</si>
  <si>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</si>
  <si>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</si>
  <si>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</si>
  <si>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</si>
  <si>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</si>
  <si>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</si>
  <si>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</si>
  <si>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</si>
  <si>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</si>
  <si>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</si>
  <si>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</si>
  <si>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</si>
  <si>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</si>
  <si>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</si>
  <si>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</si>
  <si>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</si>
  <si>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</si>
  <si>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</si>
  <si>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</si>
  <si>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</si>
  <si>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</si>
  <si>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</si>
  <si>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</si>
  <si>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</si>
  <si>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</si>
  <si>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</si>
  <si>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</si>
  <si>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</si>
  <si>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</si>
  <si>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</si>
  <si>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</si>
  <si>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</si>
  <si>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</si>
  <si>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</si>
  <si>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</si>
  <si>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</si>
  <si>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</si>
  <si>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</si>
  <si>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</si>
  <si>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</si>
  <si>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</si>
  <si>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</si>
  <si>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</si>
  <si>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</si>
  <si>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</si>
  <si>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</si>
  <si>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</si>
  <si>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</si>
  <si>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</si>
  <si>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</si>
  <si>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</si>
  <si>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</si>
  <si>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</si>
  <si>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</si>
  <si>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</si>
  <si>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</si>
  <si>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</si>
  <si>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</si>
  <si>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</si>
  <si>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</si>
  <si>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</si>
  <si>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</si>
  <si>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</si>
  <si>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</si>
  <si>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</si>
  <si>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</si>
  <si>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</si>
  <si>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</si>
  <si>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</si>
  <si>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</si>
  <si>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</si>
  <si>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</si>
  <si>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</si>
  <si>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</si>
  <si>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</si>
  <si>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</si>
  <si>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</si>
  <si>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</si>
  <si>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</si>
  <si>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</si>
  <si>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</si>
  <si>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</si>
  <si>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</si>
  <si>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</si>
  <si>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</si>
  <si>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</si>
  <si>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</si>
  <si>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</si>
  <si>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</si>
  <si>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</si>
  <si>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</si>
  <si>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</si>
  <si>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</si>
  <si>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</si>
  <si>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</si>
  <si>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</si>
  <si>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</si>
  <si>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</si>
  <si>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</si>
  <si>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</si>
  <si>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</si>
  <si>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</si>
  <si>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</si>
  <si>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</si>
  <si>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</si>
  <si>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</si>
  <si>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</si>
  <si>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</si>
  <si>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</si>
  <si>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</si>
  <si>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</si>
  <si>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</si>
  <si>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</si>
  <si>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</si>
  <si>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</si>
  <si>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</si>
  <si>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</si>
  <si>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</si>
  <si>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</si>
  <si>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</si>
  <si>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</si>
  <si>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</si>
  <si>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</si>
  <si>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</si>
  <si>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</si>
  <si>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</si>
  <si>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</si>
  <si>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</si>
  <si>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</si>
  <si>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</si>
  <si>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</si>
  <si>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</si>
  <si>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</si>
  <si>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</si>
  <si>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</si>
  <si>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</si>
  <si>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</si>
  <si>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</si>
  <si>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</si>
  <si>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</si>
  <si>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</si>
  <si>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</si>
  <si>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</si>
  <si>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</si>
  <si>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</si>
  <si>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</si>
  <si>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</si>
  <si>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</si>
  <si>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</si>
  <si>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</si>
  <si>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</si>
  <si>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</si>
  <si>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</si>
  <si>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</si>
  <si>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</si>
  <si>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</si>
  <si>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</si>
  <si>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</si>
  <si>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</si>
  <si>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</si>
  <si>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</si>
  <si>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</si>
  <si>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</si>
  <si>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</si>
  <si>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</si>
  <si>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</si>
  <si>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</si>
  <si>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</si>
  <si>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</si>
  <si>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</si>
  <si>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</si>
  <si>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</si>
  <si>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</si>
  <si>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</si>
  <si>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</si>
  <si>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</si>
  <si>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</si>
  <si>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</si>
  <si>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</si>
  <si>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</si>
  <si>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</si>
  <si>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</si>
  <si>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</si>
  <si>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</si>
  <si>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</si>
  <si>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</si>
  <si>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</si>
  <si>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</si>
  <si>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</si>
  <si>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</si>
  <si>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</si>
  <si>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</si>
  <si>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</si>
  <si>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</si>
  <si>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</si>
  <si>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</si>
  <si>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</si>
  <si>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</si>
  <si>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</si>
  <si>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</si>
  <si>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</si>
  <si>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</si>
  <si>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</si>
  <si>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</si>
  <si>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</si>
  <si>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</si>
  <si>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</si>
  <si>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</si>
  <si>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</si>
  <si>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</si>
  <si>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</si>
  <si>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</si>
  <si>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</si>
  <si>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</si>
  <si>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</si>
  <si>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</si>
  <si>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</si>
  <si>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</si>
  <si>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</si>
  <si>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</si>
  <si>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</si>
  <si>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</si>
  <si>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</si>
  <si>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</si>
  <si>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</si>
  <si>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</si>
  <si>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</si>
  <si>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</si>
  <si>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</si>
  <si>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</si>
  <si>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</si>
  <si>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</si>
  <si>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</si>
  <si>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</si>
  <si>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</si>
  <si>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</si>
  <si>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</si>
  <si>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</si>
  <si>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</si>
  <si>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</si>
  <si>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</si>
  <si>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</si>
  <si>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</si>
  <si>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</si>
  <si>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</si>
  <si>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</si>
  <si>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</si>
  <si>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</si>
  <si>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</si>
  <si>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</si>
  <si>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</si>
  <si>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</si>
  <si>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</si>
  <si>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</si>
  <si>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</si>
  <si>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</si>
  <si>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</si>
  <si>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</si>
  <si>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</si>
  <si>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</si>
  <si>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</si>
  <si>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</si>
  <si>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</si>
  <si>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</si>
  <si>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</si>
  <si>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</si>
  <si>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</si>
  <si>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</si>
  <si>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</si>
  <si>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</si>
  <si>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</si>
  <si>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</si>
  <si>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</si>
  <si>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</si>
  <si>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</si>
  <si>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</si>
  <si>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</si>
  <si>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</si>
  <si>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</si>
  <si>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</si>
  <si>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</si>
  <si>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</si>
  <si>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</si>
  <si>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</si>
  <si>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</si>
  <si>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</si>
  <si>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</si>
  <si>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</si>
  <si>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</si>
  <si>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</si>
  <si>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</si>
  <si>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</si>
  <si>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</si>
  <si>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</si>
  <si>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</si>
  <si>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</si>
  <si>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</si>
  <si>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</si>
  <si>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</si>
  <si>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</si>
  <si>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</si>
  <si>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</si>
  <si>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</si>
  <si>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</si>
  <si>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</si>
  <si>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</si>
  <si>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</si>
  <si>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</si>
  <si>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</si>
  <si>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</si>
  <si>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</si>
  <si>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</si>
  <si>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</si>
  <si>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</si>
  <si>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</si>
  <si>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</si>
  <si>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</si>
  <si>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</si>
  <si>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</si>
  <si>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</si>
  <si>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</si>
  <si>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</si>
  <si>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</si>
  <si>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</si>
  <si>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</si>
  <si>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</si>
  <si>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</si>
  <si>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</si>
  <si>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</si>
  <si>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</si>
  <si>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</si>
  <si>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</si>
  <si>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</si>
  <si>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</si>
  <si>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</si>
  <si>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</si>
  <si>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</si>
  <si>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</si>
  <si>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</si>
  <si>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</si>
  <si>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</si>
  <si>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</si>
  <si>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</si>
  <si>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</si>
  <si>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</si>
  <si>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</si>
  <si>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</si>
  <si>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</si>
  <si>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</si>
  <si>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</si>
  <si>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</si>
  <si>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</si>
  <si>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</si>
  <si>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</si>
  <si>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</si>
  <si>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</si>
  <si>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</si>
  <si>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</si>
  <si>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</si>
  <si>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</si>
  <si>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</si>
  <si>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</si>
  <si>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</si>
  <si>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</si>
  <si>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</si>
  <si>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</si>
  <si>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</si>
  <si>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</si>
  <si>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</si>
  <si>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</si>
  <si>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</si>
  <si>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</si>
  <si>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</si>
  <si>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</si>
  <si>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</si>
  <si>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</si>
  <si>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</si>
  <si>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</si>
  <si>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</si>
  <si>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</si>
  <si>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</si>
  <si>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</si>
  <si>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</si>
  <si>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</si>
  <si>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</si>
  <si>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</si>
  <si>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</si>
  <si>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</si>
  <si>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</si>
  <si>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</si>
  <si>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</si>
  <si>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</si>
  <si>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</si>
  <si>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</si>
  <si>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</si>
  <si>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</si>
  <si>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</si>
  <si>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</si>
  <si>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</si>
  <si>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</si>
  <si>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</si>
  <si>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</si>
  <si>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</si>
  <si>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</si>
  <si>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</si>
  <si>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</si>
  <si>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</si>
  <si>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</si>
  <si>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</si>
  <si>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</si>
  <si>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</si>
  <si>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</si>
  <si>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</si>
  <si>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</si>
  <si>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</si>
  <si>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</si>
  <si>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</si>
  <si>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</si>
  <si>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</si>
  <si>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</si>
  <si>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</si>
  <si>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</si>
  <si>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</si>
  <si>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</si>
  <si>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</si>
  <si>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</si>
  <si>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</si>
  <si>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</si>
  <si>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</si>
  <si>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</si>
  <si>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</si>
  <si>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</si>
  <si>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</si>
  <si>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</si>
  <si>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</si>
  <si>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</si>
  <si>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</si>
  <si>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</si>
  <si>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</si>
  <si>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</si>
  <si>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</si>
  <si>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</si>
  <si>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</si>
  <si>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</si>
  <si>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</si>
  <si>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</si>
  <si>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</si>
  <si>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</si>
  <si>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</si>
  <si>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</si>
  <si>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</si>
  <si>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</si>
  <si>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</si>
  <si>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</si>
  <si>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</si>
  <si>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</si>
  <si>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</si>
  <si>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</si>
  <si>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</si>
  <si>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</si>
  <si>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</si>
  <si>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</si>
  <si>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</si>
  <si>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</si>
  <si>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</si>
  <si>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</si>
  <si>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</si>
  <si>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</si>
  <si>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</si>
  <si>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</si>
  <si>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</si>
  <si>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</si>
  <si>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</si>
  <si>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</si>
  <si>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</si>
  <si>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</si>
  <si>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</si>
  <si>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</si>
  <si>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</si>
  <si>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</si>
  <si>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</si>
  <si>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</si>
  <si>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</si>
  <si>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</si>
  <si>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</si>
  <si>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</si>
  <si>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</si>
  <si>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</si>
  <si>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</si>
  <si>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</si>
  <si>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</si>
  <si>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</si>
  <si>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</si>
  <si>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</si>
  <si>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</si>
  <si>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</si>
  <si>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</si>
  <si>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</si>
  <si>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</si>
  <si>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</si>
  <si>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</si>
  <si>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</si>
  <si>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</si>
  <si>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</si>
  <si>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</si>
  <si>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</si>
  <si>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</si>
  <si>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</si>
  <si>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</si>
  <si>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</si>
  <si>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</si>
  <si>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</si>
  <si>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</si>
  <si>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</si>
  <si>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</si>
  <si>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</si>
  <si>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</si>
  <si>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</si>
  <si>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</si>
  <si>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</si>
  <si>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</si>
  <si>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</si>
  <si>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</si>
  <si>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</si>
  <si>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</si>
  <si>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</si>
  <si>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</si>
  <si>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</si>
  <si>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</si>
  <si>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</si>
  <si>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</si>
  <si>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</si>
  <si>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</si>
  <si>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</si>
  <si>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</si>
  <si>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</si>
  <si>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</si>
  <si>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</si>
  <si>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</si>
  <si>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</si>
  <si>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</si>
  <si>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</si>
  <si>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</si>
  <si>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</si>
  <si>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</si>
  <si>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</si>
  <si>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</si>
  <si>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</si>
  <si>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</si>
  <si>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</si>
  <si>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</si>
  <si>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</si>
  <si>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</si>
  <si>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</si>
  <si>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</si>
  <si>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</si>
  <si>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</si>
  <si>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</si>
  <si>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</si>
  <si>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</si>
  <si>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</si>
  <si>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</si>
  <si>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</si>
  <si>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</si>
  <si>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</si>
  <si>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</si>
  <si>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</si>
  <si>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</si>
  <si>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</si>
  <si>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</si>
  <si>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</si>
  <si>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</si>
  <si>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</si>
  <si>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</si>
  <si>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</si>
  <si>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</si>
  <si>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</si>
  <si>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</si>
  <si>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</si>
  <si>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</si>
  <si>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</si>
  <si>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</si>
  <si>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</si>
  <si>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</si>
  <si>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</si>
  <si>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</si>
  <si>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</si>
  <si>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</si>
  <si>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</si>
  <si>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</si>
  <si>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</si>
  <si>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</si>
  <si>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</si>
  <si>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</si>
  <si>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</si>
  <si>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</si>
  <si>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</si>
  <si>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</si>
  <si>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</si>
  <si>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</si>
  <si>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</si>
  <si>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</si>
  <si>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</si>
  <si>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</si>
  <si>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</si>
  <si>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</si>
  <si>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</si>
  <si>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</si>
  <si>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</si>
  <si>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</si>
  <si>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</si>
  <si>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</si>
  <si>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</si>
  <si>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</si>
  <si>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</si>
  <si>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</si>
  <si>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</si>
  <si>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</si>
  <si>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</si>
  <si>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</si>
  <si>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</si>
  <si>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</si>
  <si>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</si>
  <si>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</si>
  <si>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</si>
  <si>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</si>
  <si>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</si>
  <si>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</si>
  <si>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</si>
  <si>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</si>
  <si>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</si>
  <si>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</si>
  <si>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</si>
  <si>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</si>
  <si>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</si>
  <si>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</si>
  <si>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</si>
  <si>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</si>
  <si>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</si>
  <si>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</si>
  <si>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</si>
  <si>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</si>
  <si>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</si>
  <si>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</si>
  <si>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</si>
  <si>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</si>
  <si>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</si>
  <si>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</si>
  <si>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</si>
  <si>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</si>
  <si>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</si>
  <si>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</si>
  <si>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</si>
  <si>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</si>
  <si>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</si>
  <si>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</si>
  <si>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</si>
  <si>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</si>
  <si>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</si>
  <si>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</si>
  <si>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</si>
  <si>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</si>
  <si>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</si>
  <si>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</si>
  <si>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</si>
  <si>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</si>
  <si>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</si>
  <si>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</si>
  <si>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</si>
  <si>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</si>
  <si>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</si>
  <si>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</si>
  <si>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</si>
  <si>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</si>
  <si>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</si>
  <si>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</si>
  <si>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</si>
  <si>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</si>
  <si>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</si>
  <si>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</si>
  <si>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</si>
  <si>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</si>
  <si>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</si>
  <si>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</si>
  <si>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</si>
  <si>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</si>
  <si>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</si>
  <si>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</si>
  <si>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</si>
  <si>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</si>
  <si>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</si>
  <si>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</si>
  <si>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</si>
  <si>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</si>
  <si>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</si>
  <si>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</si>
  <si>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</si>
  <si>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</si>
  <si>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</si>
  <si>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</si>
  <si>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</si>
  <si>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</si>
  <si>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</si>
  <si>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</si>
  <si>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</si>
  <si>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</si>
  <si>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</si>
  <si>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</si>
  <si>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</si>
  <si>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</si>
  <si>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</si>
  <si>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</si>
  <si>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</si>
  <si>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</si>
  <si>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</si>
  <si>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</si>
  <si>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</si>
  <si>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</si>
  <si>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</si>
  <si>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</si>
  <si>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</si>
  <si>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</si>
  <si>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</si>
  <si>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</si>
  <si>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</si>
  <si>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</si>
  <si>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</si>
  <si>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</si>
  <si>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</si>
  <si>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</si>
  <si>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</si>
  <si>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</si>
  <si>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</si>
  <si>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</si>
  <si>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</si>
  <si>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</si>
  <si>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</si>
  <si>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</si>
  <si>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</si>
  <si>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</si>
  <si>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</si>
  <si>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</si>
  <si>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</si>
  <si>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</si>
  <si>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</si>
  <si>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</si>
  <si>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</si>
  <si>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</si>
  <si>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</si>
  <si>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</si>
  <si>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</si>
  <si>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</si>
  <si>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</si>
  <si>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</si>
  <si>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</si>
  <si>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</si>
  <si>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</si>
  <si>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</si>
  <si>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</si>
  <si>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</si>
  <si>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</si>
  <si>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</si>
  <si>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</si>
  <si>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</si>
  <si>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</si>
  <si>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</si>
  <si>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</si>
  <si>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</si>
  <si>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</si>
  <si>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</si>
  <si>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</si>
  <si>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</si>
  <si>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</si>
  <si>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</si>
  <si>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</si>
  <si>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</si>
  <si>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</si>
  <si>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</si>
  <si>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</si>
  <si>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</si>
  <si>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</si>
  <si>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</si>
  <si>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</si>
  <si>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</si>
  <si>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</si>
  <si>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</si>
  <si>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</si>
  <si>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</si>
  <si>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</si>
  <si>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</si>
  <si>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</si>
  <si>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</si>
  <si>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</si>
  <si>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</si>
  <si>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</si>
  <si>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</si>
  <si>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</si>
  <si>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</si>
  <si>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</si>
  <si>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</si>
  <si>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</si>
  <si>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</si>
  <si>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</si>
  <si>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</si>
  <si>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</si>
  <si>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</si>
  <si>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</si>
  <si>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</si>
  <si>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</si>
  <si>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</si>
  <si>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</si>
  <si>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</si>
  <si>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</si>
  <si>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</si>
  <si>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</si>
  <si>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</si>
  <si>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</si>
  <si>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</si>
  <si>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</si>
  <si>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</si>
  <si>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</si>
  <si>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</si>
  <si>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</si>
  <si>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</si>
  <si>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</si>
  <si>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</si>
  <si>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</si>
  <si>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</si>
  <si>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</si>
  <si>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</si>
  <si>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</si>
  <si>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</si>
  <si>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</si>
  <si>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</si>
  <si>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</si>
  <si>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</si>
  <si>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</si>
  <si>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</si>
  <si>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</si>
  <si>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</si>
  <si>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</si>
  <si>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</si>
  <si>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</si>
  <si>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</si>
  <si>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</si>
  <si>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</si>
  <si>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</si>
  <si>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</si>
  <si>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</si>
  <si>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</si>
  <si>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</si>
  <si>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</si>
  <si>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</si>
  <si>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</si>
  <si>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</si>
  <si>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</si>
  <si>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</si>
  <si>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</si>
  <si>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</si>
  <si>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</si>
  <si>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</si>
  <si>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</si>
  <si>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</si>
  <si>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</si>
  <si>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</si>
  <si>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</si>
  <si>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</si>
  <si>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</si>
  <si>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</si>
  <si>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</si>
  <si>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</si>
  <si>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</si>
  <si>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</si>
  <si>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</si>
  <si>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</si>
  <si>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</si>
  <si>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</si>
  <si>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</si>
  <si>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</si>
  <si>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</si>
  <si>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</si>
  <si>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</si>
  <si>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</si>
  <si>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</si>
  <si>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</si>
  <si>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</si>
  <si>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</si>
  <si>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</si>
  <si>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</si>
  <si>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</si>
  <si>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</si>
  <si>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</si>
  <si>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</si>
  <si>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</si>
  <si>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</si>
  <si>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</si>
  <si>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</si>
  <si>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</si>
  <si>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</si>
  <si>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</si>
  <si>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</si>
  <si>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</si>
  <si>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</si>
  <si>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</si>
  <si>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</si>
  <si>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</si>
  <si>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</si>
  <si>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</si>
  <si>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</si>
  <si>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</si>
  <si>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</si>
  <si>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</si>
  <si>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</si>
  <si>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</si>
  <si>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</si>
  <si>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</si>
  <si>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</si>
  <si>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</si>
  <si>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</si>
  <si>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</si>
  <si>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</si>
  <si>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</si>
  <si>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</si>
  <si>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</si>
  <si>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</si>
  <si>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</si>
  <si>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</si>
  <si>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</si>
  <si>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</si>
  <si>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</si>
  <si>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</si>
  <si>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</si>
  <si>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</si>
  <si>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</si>
  <si>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</si>
  <si>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</si>
  <si>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</si>
  <si>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</si>
  <si>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</si>
  <si>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</si>
  <si>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</si>
  <si>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</si>
  <si>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</si>
  <si>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</si>
  <si>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</si>
  <si>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</si>
  <si>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</si>
  <si>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</si>
  <si>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</si>
  <si>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</si>
  <si>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</si>
  <si>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</si>
  <si>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</si>
  <si>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</si>
  <si>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</si>
  <si>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</si>
  <si>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</si>
  <si>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</si>
  <si>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</si>
  <si>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</si>
  <si>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</si>
  <si>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</si>
  <si>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</si>
  <si>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</si>
  <si>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</si>
  <si>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</si>
  <si>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</si>
  <si>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</si>
  <si>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</si>
  <si>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</si>
  <si>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</si>
  <si>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</si>
  <si>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</si>
  <si>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</si>
  <si>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</si>
  <si>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</si>
  <si>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</si>
  <si>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</si>
  <si>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</si>
  <si>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</si>
  <si>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</si>
  <si>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</si>
  <si>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</si>
  <si>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</si>
  <si>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</si>
  <si>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</si>
  <si>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</si>
  <si>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</si>
  <si>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</si>
  <si>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</si>
  <si>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</si>
  <si>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</si>
  <si>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</si>
  <si>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</si>
  <si>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</si>
  <si>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</si>
  <si>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</si>
  <si>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</si>
  <si>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</si>
  <si>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</si>
  <si>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</si>
  <si>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</si>
  <si>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</si>
  <si>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</si>
  <si>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</si>
  <si>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</si>
  <si>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</si>
  <si>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</si>
  <si>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</si>
  <si>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</si>
  <si>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</si>
  <si>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</si>
  <si>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</si>
  <si>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</si>
  <si>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</si>
  <si>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</si>
  <si>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</si>
  <si>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</si>
  <si>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</si>
  <si>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</si>
  <si>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</si>
  <si>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</si>
  <si>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</si>
  <si>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</si>
  <si>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</si>
  <si>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</si>
  <si>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</si>
  <si>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</si>
  <si>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</si>
  <si>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</si>
  <si>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</si>
  <si>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</si>
  <si>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</si>
  <si>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</si>
  <si>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</si>
  <si>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</si>
  <si>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</si>
  <si>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</si>
  <si>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</si>
  <si>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</si>
  <si>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</si>
  <si>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</si>
  <si>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</si>
  <si>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</si>
  <si>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</si>
  <si>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</si>
  <si>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</si>
  <si>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</si>
  <si>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</si>
  <si>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</si>
  <si>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</si>
  <si>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</si>
  <si>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</si>
  <si>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</si>
  <si>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</si>
  <si>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</si>
  <si>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</si>
  <si>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</si>
  <si>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</si>
  <si>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</si>
  <si>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</si>
  <si>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</si>
  <si>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</si>
  <si>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</si>
  <si>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</si>
  <si>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</si>
  <si>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</si>
  <si>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</si>
  <si>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</si>
  <si>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</si>
  <si>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</si>
  <si>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</si>
  <si>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</si>
  <si>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</si>
  <si>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</si>
  <si>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</si>
  <si>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</si>
  <si>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</si>
  <si>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</si>
  <si>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</si>
  <si>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</si>
  <si>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</si>
  <si>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</si>
  <si>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</si>
  <si>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</si>
  <si>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</si>
  <si>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</si>
  <si>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</si>
  <si>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</si>
  <si>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</si>
  <si>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</si>
  <si>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</si>
  <si>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</si>
  <si>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</si>
  <si>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</si>
  <si>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</si>
  <si>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</si>
  <si>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</si>
  <si>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</si>
  <si>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</si>
  <si>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</si>
  <si>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</si>
  <si>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</si>
  <si>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</si>
  <si>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</si>
  <si>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</si>
  <si>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</si>
  <si>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</si>
  <si>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</si>
  <si>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</si>
  <si>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</si>
  <si>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</si>
  <si>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</si>
  <si>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</si>
  <si>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</si>
  <si>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</si>
  <si>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</si>
  <si>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</si>
  <si>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</si>
  <si>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</si>
  <si>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</si>
  <si>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</si>
  <si>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</si>
  <si>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</si>
  <si>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</si>
  <si>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</si>
  <si>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</si>
  <si>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</si>
  <si>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</si>
  <si>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</si>
  <si>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</si>
  <si>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</si>
  <si>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</si>
  <si>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</si>
  <si>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</si>
  <si>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</si>
  <si>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</si>
  <si>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</si>
  <si>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</si>
  <si>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</si>
  <si>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</si>
  <si>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</si>
  <si>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</si>
  <si>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</si>
  <si>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</si>
  <si>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</si>
  <si>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</si>
  <si>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</si>
  <si>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</si>
  <si>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</si>
  <si>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</si>
  <si>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</si>
  <si>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</si>
  <si>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</si>
  <si>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</si>
  <si>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</si>
  <si>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</si>
  <si>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</si>
  <si>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</si>
  <si>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</si>
  <si>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</si>
  <si>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</si>
  <si>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</si>
  <si>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</si>
  <si>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</si>
  <si>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</si>
  <si>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</si>
  <si>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</si>
  <si>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</si>
  <si>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</si>
  <si>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</si>
  <si>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</si>
  <si>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</si>
  <si>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</si>
  <si>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</si>
  <si>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</si>
  <si>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</si>
  <si>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</si>
  <si>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</si>
  <si>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</si>
  <si>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</si>
  <si>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</si>
  <si>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</si>
  <si>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</si>
  <si>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</si>
  <si>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</si>
  <si>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</si>
  <si>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</si>
  <si>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</si>
  <si>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</si>
  <si>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</si>
  <si>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</si>
  <si>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</si>
  <si>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</si>
  <si>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</si>
  <si>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</si>
  <si>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</si>
  <si>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</si>
  <si>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</si>
  <si>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</si>
  <si>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</si>
  <si>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</si>
  <si>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</si>
  <si>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</si>
  <si>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</si>
  <si>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</si>
  <si>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</si>
  <si>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</si>
  <si>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</si>
  <si>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</si>
  <si>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</si>
  <si>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</si>
  <si>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</si>
  <si>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</si>
  <si>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</si>
  <si>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</si>
  <si>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</si>
  <si>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</si>
  <si>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</si>
  <si>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</si>
  <si>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</si>
  <si>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</si>
  <si>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</si>
  <si>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</si>
  <si>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</si>
  <si>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</si>
  <si>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</si>
  <si>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</si>
  <si>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</si>
  <si>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</si>
  <si>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</si>
  <si>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</si>
  <si>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</si>
  <si>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</si>
  <si>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</si>
  <si>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</si>
  <si>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</si>
  <si>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</si>
  <si>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</si>
  <si>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</si>
  <si>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</si>
  <si>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</si>
  <si>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</si>
  <si>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</si>
  <si>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</si>
  <si>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</si>
  <si>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</si>
  <si>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</si>
  <si>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</si>
  <si>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</si>
  <si>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</si>
  <si>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</si>
  <si>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</si>
  <si>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</si>
  <si>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</si>
  <si>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</si>
  <si>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</si>
  <si>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</si>
  <si>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</si>
  <si>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</si>
  <si>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</si>
  <si>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</si>
  <si>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</si>
  <si>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</si>
  <si>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</si>
  <si>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</si>
  <si>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</si>
  <si>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</si>
  <si>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</si>
  <si>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</si>
  <si>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</si>
  <si>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</si>
  <si>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</si>
  <si>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</si>
  <si>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</si>
  <si>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</si>
  <si>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</si>
  <si>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</si>
  <si>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</si>
  <si>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</si>
  <si>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</si>
  <si>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</si>
  <si>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</si>
  <si>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</si>
  <si>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</si>
  <si>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</si>
  <si>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</si>
  <si>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</si>
  <si>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</si>
  <si>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</si>
  <si>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</si>
  <si>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</si>
  <si>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</si>
  <si>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</si>
  <si>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</si>
  <si>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</si>
  <si>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</si>
  <si>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</si>
  <si>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</si>
  <si>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</si>
  <si>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</si>
  <si>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</si>
  <si>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</si>
  <si>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</si>
  <si>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</si>
  <si>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</si>
  <si>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</si>
  <si>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</si>
  <si>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</si>
  <si>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</si>
  <si>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</si>
  <si>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</si>
  <si>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</si>
  <si>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</si>
  <si>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</si>
  <si>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</si>
  <si>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</si>
  <si>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</si>
  <si>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</si>
  <si>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</si>
  <si>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</si>
  <si>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</si>
  <si>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</si>
  <si>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</si>
  <si>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</si>
  <si>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</si>
  <si>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</si>
  <si>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</si>
  <si>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</si>
  <si>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</si>
  <si>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</si>
  <si>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</si>
  <si>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</si>
  <si>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</si>
  <si>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</si>
  <si>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</si>
  <si>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</si>
  <si>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</si>
  <si>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</si>
  <si>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</si>
  <si>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</si>
  <si>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</si>
  <si>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</si>
  <si>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</si>
  <si>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</si>
  <si>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</si>
  <si>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</si>
  <si>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</si>
  <si>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</si>
  <si>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</si>
  <si>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</si>
  <si>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</si>
  <si>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</si>
  <si>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</si>
  <si>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</si>
  <si>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</si>
  <si>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</si>
  <si>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</si>
  <si>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</si>
  <si>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</si>
  <si>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</si>
  <si>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</si>
  <si>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</si>
  <si>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</si>
  <si>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</si>
  <si>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</si>
  <si>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</si>
  <si>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</si>
  <si>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</si>
  <si>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</si>
  <si>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</si>
  <si>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</si>
  <si>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</si>
  <si>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</si>
  <si>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</si>
  <si>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</si>
  <si>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</si>
  <si>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</si>
  <si>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</si>
  <si>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</si>
  <si>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</si>
  <si>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</si>
  <si>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</si>
  <si>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</si>
  <si>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</si>
  <si>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</si>
  <si>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</si>
  <si>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</si>
  <si>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</si>
  <si>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</si>
  <si>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</si>
  <si>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</si>
  <si>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</si>
  <si>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</si>
  <si>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</si>
  <si>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</si>
  <si>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</si>
  <si>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</si>
  <si>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</si>
  <si>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</si>
  <si>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</si>
  <si>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</si>
  <si>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</si>
  <si>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</si>
  <si>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</si>
  <si>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</si>
  <si>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</si>
  <si>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</si>
  <si>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</si>
  <si>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</si>
  <si>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</si>
  <si>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</si>
  <si>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</si>
  <si>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</si>
  <si>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</si>
  <si>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</si>
  <si>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</si>
  <si>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</si>
  <si>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</si>
  <si>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</si>
  <si>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</si>
  <si>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</si>
  <si>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</si>
  <si>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</si>
  <si>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</si>
  <si>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</si>
  <si>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</si>
  <si>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</si>
  <si>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</si>
  <si>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</si>
  <si>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</si>
  <si>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</si>
  <si>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</si>
  <si>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</si>
  <si>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</si>
  <si>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</si>
  <si>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</si>
  <si>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</si>
  <si>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</si>
  <si>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</si>
  <si>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</si>
  <si>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</si>
  <si>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</si>
  <si>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</si>
  <si>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</si>
  <si>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</si>
  <si>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</si>
  <si>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</si>
  <si>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</si>
  <si>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</si>
  <si>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</si>
  <si>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</si>
  <si>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</si>
  <si>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</si>
  <si>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</si>
  <si>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</si>
  <si>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</si>
  <si>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</si>
  <si>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</si>
  <si>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</si>
  <si>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</si>
  <si>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</si>
  <si>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</si>
  <si>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</si>
  <si>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</si>
  <si>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</si>
  <si>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</si>
  <si>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</si>
  <si>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</si>
  <si>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</si>
  <si>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</si>
  <si>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</si>
  <si>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</si>
  <si>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</si>
  <si>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</si>
  <si>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</si>
  <si>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</si>
  <si>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</si>
  <si>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</si>
  <si>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</si>
  <si>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</si>
  <si>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</si>
  <si>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</si>
  <si>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</si>
  <si>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</si>
  <si>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</si>
  <si>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</si>
  <si>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</si>
  <si>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</si>
  <si>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</si>
  <si>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</si>
  <si>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</si>
  <si>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</si>
  <si>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</si>
  <si>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</si>
  <si>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</si>
  <si>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</si>
  <si>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</si>
  <si>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</si>
  <si>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</si>
  <si>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</si>
  <si>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</si>
  <si>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</si>
  <si>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</si>
  <si>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</si>
  <si>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</si>
  <si>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</si>
  <si>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</si>
  <si>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</si>
  <si>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</si>
  <si>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</si>
  <si>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</si>
  <si>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</si>
  <si>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</si>
  <si>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</si>
  <si>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</si>
  <si>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</si>
  <si>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</si>
  <si>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</si>
  <si>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</si>
  <si>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</si>
  <si>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</si>
  <si>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</si>
  <si>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</si>
  <si>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</si>
  <si>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</si>
  <si>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</si>
  <si>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</si>
  <si>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</si>
  <si>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</si>
  <si>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</si>
  <si>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</si>
  <si>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</si>
  <si>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</si>
  <si>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</si>
  <si>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</si>
  <si>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</si>
  <si>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</si>
  <si>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</si>
  <si>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</si>
  <si>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</si>
  <si>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</si>
  <si>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</si>
  <si>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</si>
  <si>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</si>
  <si>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</si>
  <si>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</si>
  <si>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</si>
  <si>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</si>
  <si>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</si>
  <si>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</si>
  <si>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</si>
  <si>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</si>
  <si>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</si>
  <si>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</si>
  <si>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</si>
  <si>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</si>
  <si>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</si>
  <si>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</si>
  <si>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</si>
  <si>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</si>
  <si>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</si>
  <si>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</si>
  <si>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</si>
  <si>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</si>
  <si>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</si>
  <si>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</si>
  <si>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</si>
  <si>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</si>
  <si>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</si>
  <si>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</si>
  <si>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</si>
  <si>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</si>
  <si>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</si>
  <si>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</si>
  <si>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</si>
  <si>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</si>
  <si>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</si>
  <si>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</si>
  <si>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</si>
  <si>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</si>
  <si>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</si>
  <si>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</si>
  <si>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</si>
  <si>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</si>
  <si>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</si>
  <si>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</si>
  <si>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</si>
  <si>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</si>
  <si>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</si>
  <si>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</si>
  <si>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</si>
  <si>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</si>
  <si>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</si>
  <si>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</si>
  <si>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</si>
  <si>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</si>
  <si>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</si>
  <si>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</si>
  <si>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</si>
  <si>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</si>
  <si>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</si>
  <si>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</si>
  <si>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</si>
  <si>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</si>
  <si>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</si>
  <si>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</si>
  <si>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</si>
  <si>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</si>
  <si>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</si>
  <si>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</si>
  <si>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</si>
  <si>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</si>
  <si>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</si>
  <si>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</si>
  <si>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</si>
  <si>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</si>
  <si>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</si>
  <si>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</si>
  <si>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</si>
  <si>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</si>
  <si>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</si>
  <si>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</si>
  <si>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</si>
  <si>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</si>
  <si>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</si>
  <si>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</si>
  <si>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</si>
  <si>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</si>
  <si>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</si>
  <si>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</si>
  <si>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</si>
  <si>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</si>
  <si>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</si>
  <si>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</si>
  <si>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</si>
  <si>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</si>
  <si>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</si>
  <si>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</si>
  <si>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</si>
  <si>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</si>
  <si>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</si>
  <si>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</si>
  <si>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</si>
  <si>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</si>
  <si>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</si>
  <si>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</si>
  <si>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</si>
  <si>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</si>
  <si>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</si>
  <si>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</si>
  <si>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</si>
  <si>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</si>
  <si>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</si>
  <si>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</si>
  <si>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</si>
  <si>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</si>
  <si>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</si>
  <si>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</si>
  <si>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</si>
  <si>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</si>
  <si>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</si>
  <si>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</si>
  <si>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</si>
  <si>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</si>
  <si>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</si>
  <si>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</si>
  <si>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</si>
  <si>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</si>
  <si>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</si>
  <si>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</si>
  <si>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</si>
  <si>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</si>
  <si>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</si>
  <si>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</si>
  <si>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</si>
  <si>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</si>
  <si>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</si>
  <si>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</si>
  <si>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</si>
  <si>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</si>
  <si>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</si>
  <si>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</si>
  <si>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</si>
  <si>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</si>
  <si>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</si>
  <si>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</si>
  <si>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</si>
  <si>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</si>
  <si>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</si>
  <si>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</si>
  <si>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</si>
  <si>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</si>
  <si>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</si>
  <si>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</si>
  <si>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</si>
  <si>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</si>
  <si>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</si>
  <si>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</si>
  <si>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</si>
  <si>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</si>
  <si>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</si>
  <si>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</si>
  <si>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</si>
  <si>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</si>
  <si>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</si>
  <si>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</si>
  <si>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</si>
  <si>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</si>
  <si>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</si>
  <si>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</si>
  <si>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</si>
  <si>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</si>
  <si>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</si>
  <si>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</si>
  <si>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</si>
  <si>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</si>
  <si>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</si>
  <si>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</si>
  <si>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</si>
  <si>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</si>
  <si>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</si>
  <si>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</si>
  <si>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</si>
  <si>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</si>
  <si>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</si>
  <si>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</si>
  <si>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</si>
  <si>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</si>
  <si>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</si>
  <si>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</si>
  <si>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</si>
  <si>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</si>
  <si>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</si>
  <si>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</si>
  <si>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</si>
  <si>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</si>
  <si>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</si>
  <si>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</si>
  <si>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</si>
  <si>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</si>
  <si>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</si>
  <si>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</si>
  <si>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</si>
  <si>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</si>
  <si>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</si>
  <si>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</si>
  <si>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</si>
  <si>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</si>
  <si>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</si>
  <si>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</si>
  <si>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</si>
  <si>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</si>
  <si>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</si>
  <si>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</si>
  <si>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</si>
  <si>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</si>
  <si>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</si>
  <si>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</si>
  <si>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</si>
  <si>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</si>
  <si>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</si>
  <si>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</si>
  <si>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</si>
  <si>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</si>
  <si>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</si>
  <si>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</si>
  <si>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</si>
  <si>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</si>
  <si>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</si>
  <si>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</si>
  <si>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</si>
  <si>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</si>
  <si>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</si>
  <si>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</si>
  <si>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</si>
  <si>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</si>
  <si>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</si>
  <si>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</si>
  <si>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</si>
  <si>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</si>
  <si>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</si>
  <si>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</si>
  <si>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</si>
  <si>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</si>
  <si>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</si>
  <si>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</si>
  <si>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</si>
  <si>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</si>
  <si>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</si>
  <si>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</si>
  <si>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</si>
  <si>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</si>
  <si>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</si>
  <si>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</si>
  <si>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</si>
  <si>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</si>
  <si>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</si>
  <si>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</si>
  <si>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</si>
  <si>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</si>
  <si>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</si>
  <si>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</si>
  <si>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</si>
  <si>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</si>
  <si>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</si>
  <si>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</si>
  <si>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</si>
  <si>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</si>
  <si>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</si>
  <si>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</si>
  <si>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</si>
  <si>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</si>
  <si>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</si>
  <si>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</si>
  <si>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</si>
  <si>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</si>
  <si>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</si>
  <si>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</si>
  <si>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</si>
  <si>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</si>
  <si>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</si>
  <si>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</si>
  <si>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</si>
  <si>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</si>
  <si>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</si>
  <si>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</si>
  <si>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</si>
  <si>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</si>
  <si>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</si>
  <si>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</si>
  <si>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</si>
  <si>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</si>
  <si>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</si>
  <si>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</si>
  <si>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</si>
  <si>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</si>
  <si>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</si>
  <si>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</si>
  <si>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</si>
  <si>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</si>
  <si>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</si>
  <si>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</si>
  <si>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</si>
  <si>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</si>
  <si>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</si>
  <si>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</si>
  <si>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</si>
  <si>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</si>
  <si>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</si>
  <si>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</si>
  <si>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</si>
  <si>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</si>
  <si>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</si>
  <si>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</si>
  <si>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</si>
  <si>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</si>
  <si>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</si>
  <si>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</si>
  <si>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</si>
  <si>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</si>
  <si>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</si>
  <si>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</si>
  <si>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</si>
  <si>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</si>
  <si>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</si>
  <si>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</si>
  <si>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</si>
  <si>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</si>
  <si>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</si>
  <si>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</si>
  <si>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</si>
  <si>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</si>
  <si>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</si>
  <si>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</si>
  <si>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</si>
  <si>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</si>
  <si>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</si>
  <si>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</si>
  <si>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</si>
  <si>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</si>
  <si>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</si>
  <si>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</si>
  <si>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</si>
  <si>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</si>
  <si>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</si>
  <si>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</si>
  <si>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</si>
  <si>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</si>
  <si>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</si>
  <si>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</si>
  <si>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</si>
  <si>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</si>
  <si>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</si>
  <si>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</si>
  <si>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</si>
  <si>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</si>
  <si>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</si>
  <si>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</si>
  <si>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</si>
  <si>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</si>
  <si>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</si>
  <si>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</si>
  <si>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</si>
  <si>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</si>
  <si>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</si>
  <si>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</si>
  <si>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</si>
  <si>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</si>
  <si>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</si>
  <si>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</si>
  <si>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</si>
  <si>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</si>
  <si>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</si>
  <si>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</si>
  <si>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</si>
  <si>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</si>
  <si>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</si>
  <si>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</si>
  <si>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</si>
  <si>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</si>
  <si>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</si>
  <si>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</si>
  <si>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</si>
  <si>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</si>
  <si>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</si>
  <si>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</si>
  <si>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</si>
  <si>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</si>
  <si>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</si>
  <si>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</si>
  <si>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</si>
  <si>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</si>
  <si>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</si>
  <si>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</si>
  <si>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</si>
  <si>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</si>
  <si>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</si>
  <si>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</si>
  <si>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</si>
  <si>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</si>
  <si>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</si>
  <si>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</si>
  <si>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</si>
  <si>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</si>
  <si>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</si>
  <si>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</si>
  <si>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</si>
  <si>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</si>
  <si>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</si>
  <si>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</si>
  <si>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</si>
  <si>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</si>
  <si>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</si>
  <si>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</si>
  <si>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</si>
  <si>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</si>
  <si>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</si>
  <si>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</si>
  <si>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</si>
  <si>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</si>
  <si>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</si>
  <si>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</si>
  <si>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</si>
  <si>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</si>
  <si>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</si>
  <si>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</si>
  <si>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</si>
  <si>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</si>
  <si>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</si>
  <si>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</si>
  <si>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</si>
  <si>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</si>
  <si>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</si>
  <si>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</si>
  <si>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</si>
  <si>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</si>
  <si>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</si>
  <si>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</si>
  <si>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</si>
  <si>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</si>
  <si>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</si>
  <si>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</si>
  <si>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</si>
  <si>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</si>
  <si>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</si>
  <si>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</si>
  <si>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</si>
  <si>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</si>
  <si>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</si>
  <si>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</si>
  <si>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</si>
  <si>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</si>
  <si>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</si>
  <si>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</si>
  <si>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</si>
  <si>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</si>
  <si>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</si>
  <si>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</si>
  <si>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</si>
  <si>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</si>
  <si>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</si>
  <si>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</si>
  <si>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</si>
  <si>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</si>
  <si>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</si>
  <si>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</si>
  <si>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</si>
  <si>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</si>
  <si>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</si>
  <si>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</si>
  <si>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</si>
  <si>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</si>
  <si>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</si>
  <si>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</si>
  <si>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</si>
  <si>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</si>
  <si>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</si>
  <si>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</si>
  <si>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</si>
  <si>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</si>
  <si>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</si>
  <si>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</si>
  <si>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</si>
  <si>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</si>
  <si>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</si>
  <si>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</si>
  <si>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</si>
  <si>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</si>
  <si>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</si>
  <si>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</si>
  <si>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</si>
  <si>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</si>
  <si>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</si>
  <si>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</si>
  <si>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</si>
  <si>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</si>
  <si>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</si>
  <si>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</si>
  <si>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</si>
  <si>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</si>
  <si>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</si>
  <si>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</si>
  <si>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</si>
  <si>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</si>
  <si>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</si>
  <si>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</si>
  <si>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</si>
  <si>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</si>
  <si>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</si>
  <si>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</si>
  <si>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</si>
  <si>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</si>
  <si>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</si>
  <si>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</si>
  <si>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</si>
  <si>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</si>
  <si>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</si>
  <si>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</si>
  <si>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</si>
  <si>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</si>
  <si>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</si>
  <si>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</si>
  <si>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</si>
  <si>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</si>
  <si>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</si>
  <si>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</si>
  <si>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</si>
  <si>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</si>
  <si>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</si>
  <si>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</si>
  <si>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</si>
  <si>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</si>
  <si>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</si>
  <si>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</si>
  <si>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</si>
  <si>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</si>
  <si>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</si>
  <si>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</si>
  <si>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</si>
  <si>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</si>
  <si>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</si>
  <si>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</si>
  <si>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</si>
  <si>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</si>
  <si>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</si>
  <si>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</si>
  <si>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</si>
  <si>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</si>
  <si>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</si>
  <si>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</si>
  <si>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</si>
  <si>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</si>
  <si>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</si>
  <si>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</si>
  <si>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</si>
  <si>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</si>
  <si>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</si>
  <si>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</si>
  <si>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</si>
  <si>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</si>
  <si>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</si>
  <si>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</si>
  <si>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</si>
  <si>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</si>
  <si>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</si>
  <si>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</si>
  <si>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</si>
  <si>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</si>
  <si>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</si>
  <si>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</si>
  <si>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</si>
  <si>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</si>
  <si>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</si>
  <si>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</si>
  <si>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</si>
  <si>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</si>
  <si>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</si>
  <si>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</si>
  <si>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</si>
  <si>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</si>
  <si>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</si>
  <si>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</si>
  <si>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</si>
  <si>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</si>
  <si>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</si>
  <si>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</si>
  <si>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</si>
  <si>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</si>
  <si>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</si>
  <si>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</si>
  <si>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</si>
  <si>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</si>
  <si>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</si>
  <si>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</si>
  <si>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</si>
  <si>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</si>
  <si>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</si>
  <si>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</si>
  <si>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</si>
  <si>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</si>
  <si>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</si>
  <si>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</si>
  <si>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</si>
  <si>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</si>
  <si>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</si>
  <si>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</si>
  <si>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</si>
  <si>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</si>
  <si>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</si>
  <si>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</si>
  <si>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</si>
  <si>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</si>
  <si>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</si>
  <si>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</si>
  <si>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</si>
  <si>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</si>
  <si>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</si>
  <si>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</si>
  <si>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</si>
  <si>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</si>
  <si>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</si>
  <si>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</si>
  <si>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</si>
  <si>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</si>
  <si>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</si>
  <si>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</si>
  <si>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</si>
  <si>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</si>
  <si>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</si>
  <si>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</si>
  <si>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</si>
  <si>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</si>
  <si>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</si>
  <si>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</si>
  <si>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</si>
  <si>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</si>
  <si>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</si>
  <si>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</si>
  <si>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</si>
  <si>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</si>
  <si>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</si>
  <si>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</si>
  <si>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</si>
  <si>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</si>
  <si>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</si>
  <si>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</si>
  <si>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</si>
  <si>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</si>
  <si>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</si>
  <si>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</si>
  <si>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</si>
  <si>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</si>
  <si>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</si>
  <si>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</si>
  <si>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</si>
  <si>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</si>
  <si>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</si>
  <si>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</si>
  <si>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</si>
  <si>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</si>
  <si>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</si>
  <si>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</si>
  <si>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</si>
  <si>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</si>
  <si>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</si>
  <si>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</si>
  <si>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</si>
  <si>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</si>
  <si>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</si>
  <si>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</si>
  <si>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</si>
  <si>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</si>
  <si>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</si>
  <si>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</si>
  <si>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</si>
  <si>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</si>
  <si>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</si>
  <si>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</si>
  <si>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</si>
  <si>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</si>
  <si>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</si>
  <si>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</si>
  <si>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</si>
  <si>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</si>
  <si>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</si>
  <si>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</si>
  <si>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</si>
  <si>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</si>
  <si>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</si>
  <si>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</si>
  <si>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</si>
  <si>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</si>
  <si>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</si>
  <si>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</si>
  <si>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</si>
  <si>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</si>
  <si>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</si>
  <si>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</si>
  <si>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</si>
  <si>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</si>
  <si>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</si>
  <si>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</si>
  <si>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</si>
  <si>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</si>
  <si>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</si>
  <si>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</si>
  <si>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</si>
  <si>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</si>
  <si>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</si>
  <si>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</si>
  <si>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</si>
  <si>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</si>
  <si>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</si>
  <si>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</si>
  <si>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</si>
  <si>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</si>
  <si>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</si>
  <si>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</si>
  <si>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</si>
  <si>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</si>
  <si>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</si>
  <si>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</si>
  <si>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</si>
  <si>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</si>
  <si>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</si>
  <si>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</si>
  <si>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</si>
  <si>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</si>
  <si>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</si>
  <si>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</si>
  <si>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</si>
  <si>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</si>
  <si>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</si>
  <si>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</si>
  <si>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</si>
  <si>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</si>
  <si>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</si>
  <si>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</si>
  <si>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</si>
  <si>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</si>
  <si>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</si>
  <si>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</si>
  <si>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</si>
  <si>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</si>
  <si>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</si>
  <si>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</si>
  <si>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</si>
  <si>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</si>
  <si>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</si>
  <si>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</si>
  <si>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</si>
  <si>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</si>
  <si>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</si>
  <si>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</si>
  <si>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</si>
  <si>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</si>
  <si>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</si>
  <si>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</si>
  <si>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</si>
  <si>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</si>
  <si>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</si>
  <si>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</si>
  <si>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</si>
  <si>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</si>
  <si>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</si>
  <si>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</si>
  <si>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</si>
  <si>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</si>
  <si>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</si>
  <si>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</si>
  <si>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</si>
  <si>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</si>
  <si>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</si>
  <si>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</si>
  <si>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</si>
  <si>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</si>
  <si>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</si>
  <si>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</si>
  <si>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</si>
  <si>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</si>
  <si>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</si>
  <si>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</si>
  <si>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</si>
  <si>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</si>
  <si>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</si>
  <si>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</si>
  <si>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</si>
  <si>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</si>
  <si>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</si>
  <si>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</si>
  <si>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</si>
  <si>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</si>
  <si>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</si>
  <si>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</si>
  <si>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</si>
  <si>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</si>
  <si>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</si>
  <si>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</si>
  <si>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</si>
  <si>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</si>
  <si>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</si>
  <si>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</si>
  <si>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</si>
  <si>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</si>
  <si>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</si>
  <si>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</si>
  <si>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</si>
  <si>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</si>
  <si>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</si>
  <si>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</si>
  <si>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</si>
  <si>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</si>
  <si>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</si>
  <si>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</si>
  <si>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</si>
  <si>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</si>
  <si>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</si>
  <si>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</si>
  <si>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</si>
  <si>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</si>
  <si>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</si>
  <si>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</si>
  <si>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</si>
  <si>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</si>
  <si>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</si>
  <si>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</si>
  <si>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</si>
  <si>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</si>
  <si>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</si>
  <si>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</si>
  <si>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</si>
  <si>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</si>
  <si>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</si>
  <si>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</si>
  <si>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</si>
  <si>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</si>
  <si>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</si>
  <si>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</si>
  <si>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</si>
  <si>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</si>
  <si>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</si>
  <si>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</si>
  <si>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</si>
  <si>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</si>
  <si>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</si>
  <si>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</si>
  <si>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</si>
  <si>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</si>
  <si>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</si>
  <si>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</si>
  <si>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</si>
  <si>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</si>
  <si>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</si>
  <si>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</si>
  <si>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</si>
  <si>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</si>
  <si>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</si>
  <si>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</si>
  <si>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</si>
  <si>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</si>
  <si>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</si>
  <si>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</si>
  <si>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</si>
  <si>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</si>
  <si>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</si>
  <si>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</si>
  <si>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</si>
  <si>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</si>
  <si>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</si>
  <si>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</si>
  <si>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</si>
  <si>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</si>
  <si>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</si>
  <si>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</si>
  <si>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</si>
  <si>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</si>
  <si>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</si>
  <si>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</si>
  <si>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</si>
  <si>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</si>
  <si>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</si>
  <si>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</si>
  <si>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</si>
  <si>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</si>
  <si>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</si>
  <si>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</si>
  <si>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</si>
  <si>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</si>
  <si>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</si>
  <si>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</si>
  <si>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</si>
  <si>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</si>
  <si>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</si>
  <si>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</si>
  <si>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</si>
  <si>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</si>
  <si>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</si>
  <si>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</si>
  <si>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</si>
  <si>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</si>
  <si>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</si>
  <si>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</si>
  <si>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</si>
  <si>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</si>
  <si>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</si>
  <si>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</si>
  <si>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</si>
  <si>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</si>
  <si>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</si>
  <si>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</si>
  <si>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</si>
  <si>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</si>
  <si>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</si>
  <si>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</si>
  <si>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</si>
  <si>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</si>
  <si>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</si>
  <si>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</si>
  <si>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</si>
  <si>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</si>
  <si>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</si>
  <si>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</si>
  <si>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</si>
  <si>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</si>
  <si>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</si>
  <si>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</si>
  <si>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</si>
  <si>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</si>
  <si>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</si>
  <si>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</si>
  <si>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</si>
  <si>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</si>
  <si>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</si>
  <si>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</si>
  <si>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</si>
  <si>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</si>
  <si>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</si>
  <si>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</si>
  <si>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</si>
  <si>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</si>
  <si>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</si>
  <si>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</si>
  <si>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</si>
  <si>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</si>
  <si>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</si>
  <si>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</si>
  <si>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</si>
  <si>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</si>
  <si>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</si>
  <si>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</si>
  <si>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</si>
  <si>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</si>
  <si>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</si>
  <si>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</si>
  <si>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</si>
  <si>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</si>
  <si>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</si>
  <si>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</si>
  <si>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</si>
  <si>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</si>
  <si>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</si>
  <si>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</si>
  <si>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</si>
  <si>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</si>
  <si>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</si>
  <si>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</si>
  <si>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</si>
  <si>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</si>
  <si>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</si>
  <si>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</si>
  <si>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</si>
  <si>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</si>
  <si>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</si>
  <si>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</si>
  <si>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</si>
  <si>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</si>
  <si>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</si>
  <si>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</si>
  <si>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</si>
  <si>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</si>
  <si>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</si>
  <si>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</si>
  <si>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</si>
  <si>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</si>
  <si>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</si>
  <si>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</si>
  <si>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</si>
  <si>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</si>
  <si>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</si>
  <si>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</si>
  <si>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</si>
  <si>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</si>
  <si>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</si>
  <si>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</si>
  <si>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</si>
  <si>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</si>
  <si>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</si>
  <si>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</si>
  <si>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</si>
  <si>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</si>
  <si>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</si>
  <si>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</si>
  <si>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</si>
  <si>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</si>
  <si>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</si>
  <si>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</si>
  <si>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</si>
  <si>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</si>
  <si>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</si>
  <si>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</si>
  <si>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</si>
  <si>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</si>
  <si>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</si>
  <si>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</si>
  <si>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</si>
  <si>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</si>
  <si>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</si>
  <si>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</si>
  <si>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</si>
  <si>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</si>
  <si>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</si>
  <si>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</si>
  <si>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</si>
  <si>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</si>
  <si>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</si>
  <si>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</si>
  <si>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</si>
  <si>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</si>
  <si>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</si>
  <si>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</si>
  <si>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</si>
  <si>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</si>
  <si>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</si>
  <si>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</si>
  <si>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</si>
  <si>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</si>
  <si>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</si>
  <si>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</si>
  <si>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</si>
  <si>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</si>
  <si>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</si>
  <si>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</si>
  <si>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</si>
  <si>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</si>
  <si>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</si>
  <si>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</si>
  <si>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</si>
  <si>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</si>
  <si>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</si>
  <si>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</si>
  <si>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</si>
  <si>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</si>
  <si>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</si>
  <si>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</si>
  <si>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</si>
  <si>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</si>
  <si>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</si>
  <si>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</si>
  <si>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</si>
  <si>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</si>
  <si>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</si>
  <si>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</si>
  <si>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</si>
  <si>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</si>
  <si>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</si>
  <si>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</si>
  <si>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</si>
  <si>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</si>
  <si>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</si>
  <si>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</si>
  <si>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</si>
  <si>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</si>
  <si>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</si>
  <si>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</si>
  <si>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</si>
  <si>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</si>
  <si>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</si>
  <si>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</si>
  <si>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</si>
  <si>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</si>
  <si>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</si>
  <si>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</si>
  <si>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</si>
  <si>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</si>
  <si>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</si>
  <si>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</si>
  <si>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</si>
  <si>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</si>
  <si>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</si>
  <si>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</si>
  <si>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</si>
  <si>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</si>
  <si>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</si>
  <si>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</si>
  <si>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</si>
  <si>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</si>
  <si>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</si>
  <si>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</si>
  <si>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</si>
  <si>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</si>
  <si>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</si>
  <si>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</si>
  <si>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</si>
  <si>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</si>
  <si>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</si>
  <si>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</si>
  <si>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</si>
  <si>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</si>
  <si>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</si>
  <si>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</si>
  <si>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</si>
  <si>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</si>
  <si>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</si>
  <si>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</si>
  <si>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</si>
  <si>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</si>
  <si>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</si>
  <si>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</si>
  <si>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</si>
  <si>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</si>
  <si>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</si>
  <si>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</si>
  <si>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</si>
  <si>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</si>
  <si>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</si>
  <si>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</si>
  <si>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</si>
  <si>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</si>
  <si>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</si>
  <si>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</si>
  <si>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</si>
  <si>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</si>
  <si>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</si>
  <si>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</si>
  <si>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</si>
  <si>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</si>
  <si>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</si>
  <si>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</si>
  <si>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</si>
  <si>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</si>
  <si>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</si>
  <si>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</si>
  <si>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</si>
  <si>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</si>
  <si>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</si>
  <si>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</si>
  <si>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</si>
  <si>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</si>
  <si>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</si>
  <si>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</si>
  <si>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</si>
  <si>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</si>
  <si>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</si>
  <si>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</si>
  <si>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</si>
  <si>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</si>
  <si>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</si>
  <si>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</si>
  <si>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</si>
  <si>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</si>
  <si>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</si>
  <si>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</si>
  <si>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</si>
  <si>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</si>
  <si>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</si>
  <si>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</si>
  <si>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</si>
  <si>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</si>
  <si>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</si>
  <si>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</si>
  <si>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</si>
  <si>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</si>
  <si>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</si>
  <si>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</si>
  <si>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</si>
  <si>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</si>
  <si>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</si>
  <si>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</si>
  <si>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</si>
  <si>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</si>
  <si>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</si>
  <si>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</si>
  <si>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</si>
  <si>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</si>
  <si>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</si>
  <si>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</si>
  <si>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</si>
  <si>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</si>
  <si>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</si>
  <si>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</si>
  <si>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</si>
  <si>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</si>
  <si>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</si>
  <si>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</si>
  <si>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</si>
  <si>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</si>
  <si>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</si>
  <si>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</si>
  <si>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</si>
  <si>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</si>
  <si>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</si>
  <si>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</si>
  <si>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</si>
  <si>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</si>
  <si>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</si>
  <si>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</si>
  <si>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</si>
  <si>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</si>
  <si>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</si>
  <si>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</si>
  <si>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</si>
  <si>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</si>
  <si>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</si>
  <si>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</si>
  <si>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</si>
  <si>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</si>
  <si>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</si>
  <si>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</si>
  <si>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</si>
  <si>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</si>
  <si>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</si>
  <si>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</si>
  <si>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</si>
  <si>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</si>
  <si>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</si>
  <si>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</si>
  <si>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</si>
  <si>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</si>
  <si>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</si>
  <si>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</si>
  <si>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</si>
  <si>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</si>
  <si>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</si>
  <si>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</si>
  <si>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</si>
  <si>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</si>
  <si>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</si>
  <si>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</si>
  <si>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</si>
  <si>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</si>
  <si>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</si>
  <si>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</si>
  <si>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</si>
  <si>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</si>
  <si>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</si>
  <si>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</si>
  <si>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</si>
  <si>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</si>
  <si>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</si>
  <si>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</si>
  <si>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</si>
  <si>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</si>
  <si>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</si>
  <si>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</si>
  <si>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</si>
  <si>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</si>
  <si>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</si>
  <si>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</si>
  <si>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</si>
  <si>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</si>
  <si>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</si>
  <si>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</si>
  <si>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</si>
  <si>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</si>
  <si>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</si>
  <si>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</si>
  <si>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</si>
  <si>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</si>
  <si>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</si>
  <si>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</si>
  <si>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</si>
  <si>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</si>
  <si>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</si>
  <si>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</si>
  <si>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</si>
  <si>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</si>
  <si>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</si>
  <si>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</si>
  <si>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</si>
  <si>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</si>
  <si>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</si>
  <si>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</si>
  <si>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</si>
  <si>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</si>
  <si>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</si>
  <si>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</si>
  <si>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</si>
  <si>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</si>
  <si>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</si>
  <si>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</si>
  <si>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</si>
  <si>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</si>
  <si>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</si>
  <si>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</si>
  <si>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</si>
  <si>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</si>
  <si>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</si>
  <si>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</si>
  <si>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</si>
  <si>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</si>
  <si>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</si>
  <si>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</si>
  <si>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</si>
  <si>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</si>
  <si>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</si>
  <si>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</si>
  <si>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</si>
  <si>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</si>
  <si>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</si>
  <si>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</si>
  <si>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</si>
  <si>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</si>
  <si>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</si>
  <si>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</si>
  <si>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</si>
  <si>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</si>
  <si>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</si>
  <si>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</si>
  <si>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</si>
  <si>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</si>
  <si>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</si>
  <si>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</si>
  <si>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</si>
  <si>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</si>
  <si>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</si>
  <si>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</si>
  <si>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</si>
  <si>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</si>
  <si>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</si>
  <si>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</si>
  <si>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</si>
  <si>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</si>
  <si>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</si>
  <si>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</si>
  <si>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</si>
  <si>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</si>
  <si>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</si>
  <si>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</si>
  <si>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</si>
  <si>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</si>
  <si>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</si>
  <si>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</si>
  <si>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</si>
  <si>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</si>
  <si>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</si>
  <si>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</si>
  <si>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</si>
  <si>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</si>
  <si>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</si>
  <si>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</si>
  <si>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</si>
  <si>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</si>
  <si>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</si>
  <si>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</si>
  <si>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</si>
  <si>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</si>
  <si>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</si>
  <si>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</si>
  <si>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</si>
  <si>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</si>
  <si>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</si>
  <si>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</si>
  <si>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</si>
  <si>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</si>
  <si>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</si>
  <si>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</si>
  <si>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</si>
  <si>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</si>
  <si>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</si>
  <si>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</si>
  <si>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</si>
  <si>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</si>
  <si>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</si>
  <si>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</si>
  <si>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</si>
  <si>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</si>
  <si>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وبانک 15274 تا 292.6</t>
  </si>
  <si>
    <t>کگهر 2081 تا 680</t>
  </si>
  <si>
    <t>شاراک</t>
  </si>
  <si>
    <t>شاراک 10431 تا 4418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</si>
  <si>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</si>
  <si>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</si>
  <si>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</si>
  <si>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</si>
  <si>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</si>
  <si>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</si>
  <si>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</si>
  <si>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</si>
  <si>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</si>
  <si>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</si>
  <si>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</si>
  <si>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</si>
  <si>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</si>
  <si>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</si>
  <si>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</si>
  <si>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</si>
  <si>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</si>
  <si>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</si>
  <si>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کگهر 2082 تا 680 حساب سارا</t>
  </si>
  <si>
    <t>سهم علی از فروش 3924 تا شاراک حساب سارا 28/8</t>
  </si>
  <si>
    <t>کگهر سارا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</si>
  <si>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</si>
  <si>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</si>
  <si>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</si>
  <si>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</si>
  <si>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</si>
  <si>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</si>
  <si>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</si>
  <si>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</si>
  <si>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</si>
  <si>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 به رضا که به مهدی بدهکارم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</si>
  <si>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</si>
  <si>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</si>
  <si>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</si>
  <si>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</si>
  <si>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</si>
  <si>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</si>
  <si>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</si>
  <si>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</si>
  <si>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وغدیر 196.2</t>
  </si>
  <si>
    <t>فروش سهام شفن مریم</t>
  </si>
  <si>
    <t>وتوسم 189.9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</si>
  <si>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</si>
  <si>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</si>
  <si>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</si>
  <si>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</si>
  <si>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</si>
  <si>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</si>
  <si>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</si>
  <si>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</si>
  <si>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وغدیر 7012 تا 192.2</t>
  </si>
  <si>
    <t>وتوسم 188.1</t>
  </si>
  <si>
    <t>هدف خرید</t>
  </si>
  <si>
    <t>از سهام خودت در حساب داریوش بفروش و از داریوش پول بگیر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</si>
</sst>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6" workbookViewId="0">
      <selection activeCell="E106" sqref="E10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4341</v>
      </c>
      <c r="B4" s="18">
        <v>-3200000</v>
      </c>
      <c r="C4" s="18">
        <v>0</v>
      </c>
      <c r="D4" s="113">
        <f t="shared" si="0"/>
        <v>-3200000</v>
      </c>
      <c r="E4" s="99" t="s">
        <v>4354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4341</v>
      </c>
      <c r="B5" s="18">
        <v>2400000</v>
      </c>
      <c r="C5" s="18">
        <v>0</v>
      </c>
      <c r="D5" s="113">
        <f t="shared" si="0"/>
        <v>2400000</v>
      </c>
      <c r="E5" s="20" t="s">
        <v>4357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4365</v>
      </c>
      <c r="B6" s="18">
        <v>-2000700</v>
      </c>
      <c r="C6" s="18">
        <v>0</v>
      </c>
      <c r="D6" s="113">
        <f t="shared" si="0"/>
        <v>-2000700</v>
      </c>
      <c r="E6" s="19" t="s">
        <v>4366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4365</v>
      </c>
      <c r="B7" s="18">
        <v>-200000</v>
      </c>
      <c r="C7" s="18">
        <v>0</v>
      </c>
      <c r="D7" s="113">
        <f t="shared" si="0"/>
        <v>-200000</v>
      </c>
      <c r="E7" s="19" t="s">
        <v>4367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4365</v>
      </c>
      <c r="B8" s="18">
        <v>-1900000</v>
      </c>
      <c r="C8" s="18">
        <v>0</v>
      </c>
      <c r="D8" s="113">
        <f t="shared" si="0"/>
        <v>-1900000</v>
      </c>
      <c r="E8" s="19" t="s">
        <v>4368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4372</v>
      </c>
      <c r="B9" s="18">
        <v>-50000</v>
      </c>
      <c r="C9" s="18">
        <v>0</v>
      </c>
      <c r="D9" s="113">
        <f t="shared" si="0"/>
        <v>-50000</v>
      </c>
      <c r="E9" s="21" t="s">
        <v>4373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4386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4386</v>
      </c>
      <c r="B11" s="18">
        <v>-3000900</v>
      </c>
      <c r="C11" s="18">
        <v>0</v>
      </c>
      <c r="D11" s="113">
        <f t="shared" si="0"/>
        <v>-3000900</v>
      </c>
      <c r="E11" s="19" t="s">
        <v>4395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4387</v>
      </c>
      <c r="B12" s="18">
        <v>-3000900</v>
      </c>
      <c r="C12" s="18">
        <v>0</v>
      </c>
      <c r="D12" s="113">
        <f t="shared" si="0"/>
        <v>-3000900</v>
      </c>
      <c r="E12" s="20" t="s">
        <v>4395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4387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4410</v>
      </c>
      <c r="B14" s="18">
        <v>-138360</v>
      </c>
      <c r="C14" s="18">
        <v>0</v>
      </c>
      <c r="D14" s="113">
        <f t="shared" si="0"/>
        <v>-138360</v>
      </c>
      <c r="E14" s="20" t="s">
        <v>4411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4413</v>
      </c>
      <c r="B15" s="18">
        <v>-3000900</v>
      </c>
      <c r="C15" s="18">
        <v>0</v>
      </c>
      <c r="D15" s="117">
        <f t="shared" si="0"/>
        <v>-3000900</v>
      </c>
      <c r="E15" s="20" t="s">
        <v>4395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4420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4440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4451</v>
      </c>
      <c r="B18" s="18">
        <v>-4098523</v>
      </c>
      <c r="C18" s="18">
        <v>0</v>
      </c>
      <c r="D18" s="113">
        <f t="shared" si="0"/>
        <v>-4098523</v>
      </c>
      <c r="E18" s="20" t="s">
        <v>4450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4451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4451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4447</v>
      </c>
      <c r="B21" s="18">
        <v>-7500</v>
      </c>
      <c r="C21" s="18">
        <v>0</v>
      </c>
      <c r="D21" s="113">
        <f t="shared" si="0"/>
        <v>-7500</v>
      </c>
      <c r="E21" s="19" t="s">
        <v>4448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4332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4371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4390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4391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4392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4390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4401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4405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4414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4416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4422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4423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4424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4425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4425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4431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4432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4433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4434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4435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4441</v>
      </c>
    </row>
    <row r="82" spans="4:5">
      <c r="D82" s="114">
        <v>-142143</v>
      </c>
      <c r="E82" s="54" t="s">
        <v>4445</v>
      </c>
    </row>
    <row r="83" spans="4:5">
      <c r="D83" s="114">
        <v>-128352</v>
      </c>
      <c r="E83" s="54" t="s">
        <v>4444</v>
      </c>
    </row>
    <row r="84" spans="4:5">
      <c r="D84" s="114">
        <v>-6035000</v>
      </c>
      <c r="E84" s="54" t="s">
        <v>4454</v>
      </c>
    </row>
    <row r="85" spans="4:5">
      <c r="D85" s="114">
        <v>-55957</v>
      </c>
      <c r="E85" s="54" t="s">
        <v>4453</v>
      </c>
    </row>
    <row r="86" spans="4:5">
      <c r="D86" s="114">
        <v>7500</v>
      </c>
      <c r="E86" s="54" t="s">
        <v>4452</v>
      </c>
    </row>
    <row r="87" spans="4:5">
      <c r="D87" s="114">
        <v>1700000</v>
      </c>
      <c r="E87" s="54" t="s">
        <v>4455</v>
      </c>
    </row>
    <row r="88" spans="4:5">
      <c r="D88" s="114">
        <v>129648</v>
      </c>
      <c r="E88" s="54" t="s">
        <v>4458</v>
      </c>
    </row>
    <row r="89" spans="4:5">
      <c r="D89" s="114">
        <v>1000000</v>
      </c>
      <c r="E89" s="54" t="s">
        <v>4473</v>
      </c>
    </row>
    <row r="90" spans="4:5">
      <c r="D90" s="114">
        <v>-53003</v>
      </c>
      <c r="E90" s="54" t="s">
        <v>4474</v>
      </c>
    </row>
    <row r="91" spans="4:5">
      <c r="D91" s="114">
        <v>-23690</v>
      </c>
      <c r="E91" s="54" t="s">
        <v>4474</v>
      </c>
    </row>
    <row r="92" spans="4:5">
      <c r="D92" s="114">
        <v>-216910</v>
      </c>
      <c r="E92" s="54" t="s">
        <v>4477</v>
      </c>
    </row>
    <row r="93" spans="4:5">
      <c r="D93" s="114">
        <v>-30304</v>
      </c>
      <c r="E93" s="54" t="s">
        <v>4482</v>
      </c>
    </row>
    <row r="94" spans="4:5">
      <c r="D94" s="114">
        <v>-10067</v>
      </c>
      <c r="E94" s="54" t="s">
        <v>4484</v>
      </c>
    </row>
    <row r="95" spans="4:5">
      <c r="D95" s="114">
        <v>-16248</v>
      </c>
      <c r="E95" s="54" t="s">
        <v>4486</v>
      </c>
    </row>
    <row r="96" spans="4:5">
      <c r="D96" s="114">
        <v>-87695</v>
      </c>
      <c r="E96" s="54" t="s">
        <v>4489</v>
      </c>
    </row>
    <row r="97" spans="4:7">
      <c r="D97" s="114">
        <v>-29231</v>
      </c>
      <c r="E97" s="54" t="s">
        <v>4490</v>
      </c>
    </row>
    <row r="98" spans="4:7">
      <c r="D98" s="114">
        <v>1000000</v>
      </c>
      <c r="E98" s="54" t="s">
        <v>4492</v>
      </c>
    </row>
    <row r="99" spans="4:7">
      <c r="D99" s="114">
        <v>-35250</v>
      </c>
      <c r="E99" s="54" t="s">
        <v>4494</v>
      </c>
    </row>
    <row r="100" spans="4:7">
      <c r="D100" s="114">
        <v>-57477</v>
      </c>
      <c r="E100" s="54" t="s">
        <v>4495</v>
      </c>
    </row>
    <row r="101" spans="4:7">
      <c r="D101" s="114">
        <v>-13565</v>
      </c>
      <c r="E101" s="54" t="s">
        <v>4496</v>
      </c>
    </row>
    <row r="102" spans="4:7">
      <c r="D102" s="114">
        <v>-9429</v>
      </c>
      <c r="E102" s="54" t="s">
        <v>4501</v>
      </c>
    </row>
    <row r="103" spans="4:7">
      <c r="D103" s="114">
        <v>-600000</v>
      </c>
      <c r="E103" s="54" t="s">
        <v>4506</v>
      </c>
    </row>
    <row r="104" spans="4:7">
      <c r="D104" s="114">
        <v>335</v>
      </c>
      <c r="E104" s="54" t="s">
        <v>4509</v>
      </c>
    </row>
    <row r="105" spans="4:7">
      <c r="D105" s="114">
        <v>31026</v>
      </c>
      <c r="E105" s="54" t="s">
        <v>4510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4335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4341</v>
      </c>
      <c r="B226" s="18">
        <v>-3200000</v>
      </c>
      <c r="C226" s="18">
        <v>0</v>
      </c>
      <c r="D226" s="18">
        <f t="shared" si="18"/>
        <v>-3200000</v>
      </c>
      <c r="E226" s="99" t="s">
        <v>4355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4341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4372</v>
      </c>
      <c r="B228" s="18">
        <v>-50000</v>
      </c>
      <c r="C228" s="18">
        <v>0</v>
      </c>
      <c r="D228" s="18">
        <f t="shared" si="18"/>
        <v>-50000</v>
      </c>
      <c r="E228" s="99" t="s">
        <v>4376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4365</v>
      </c>
      <c r="B229" s="18">
        <v>-4100700</v>
      </c>
      <c r="C229" s="18">
        <v>0</v>
      </c>
      <c r="D229" s="18">
        <f t="shared" si="18"/>
        <v>-4100700</v>
      </c>
      <c r="E229" s="99" t="s">
        <v>4377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4386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4386</v>
      </c>
      <c r="B231" s="18">
        <v>-3000900</v>
      </c>
      <c r="C231" s="18">
        <v>0</v>
      </c>
      <c r="D231" s="18">
        <f t="shared" si="18"/>
        <v>-3000900</v>
      </c>
      <c r="E231" s="99" t="s">
        <v>4395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4387</v>
      </c>
      <c r="B232" s="18">
        <v>-3000900</v>
      </c>
      <c r="C232" s="18">
        <v>0</v>
      </c>
      <c r="D232" s="18">
        <f t="shared" si="18"/>
        <v>-3000900</v>
      </c>
      <c r="E232" s="99" t="s">
        <v>4395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4387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4410</v>
      </c>
      <c r="B234" s="18">
        <v>-138360</v>
      </c>
      <c r="C234" s="18">
        <v>0</v>
      </c>
      <c r="D234" s="18">
        <f t="shared" si="18"/>
        <v>-138360</v>
      </c>
      <c r="E234" s="99" t="s">
        <v>4412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4413</v>
      </c>
      <c r="B235" s="18">
        <v>-3000900</v>
      </c>
      <c r="C235" s="18">
        <v>0</v>
      </c>
      <c r="D235" s="18">
        <f t="shared" si="18"/>
        <v>-3000900</v>
      </c>
      <c r="E235" s="99" t="s">
        <v>4395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4420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4440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4447</v>
      </c>
      <c r="B238" s="18">
        <v>-7500</v>
      </c>
      <c r="C238" s="18">
        <v>0</v>
      </c>
      <c r="D238" s="18">
        <f t="shared" si="18"/>
        <v>-7500</v>
      </c>
      <c r="E238" s="99" t="s">
        <v>4448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4449</v>
      </c>
      <c r="B239" s="18">
        <v>-4098523</v>
      </c>
      <c r="C239" s="18">
        <v>0</v>
      </c>
      <c r="D239" s="18">
        <f t="shared" si="18"/>
        <v>-4098523</v>
      </c>
      <c r="E239" s="99" t="s">
        <v>4450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4451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4451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4388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4389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1221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4028246.0385852084</v>
      </c>
      <c r="C8" s="99">
        <f>B2*B4*B5/(B1*B3)+B7/B6</f>
        <v>287.73185989894341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351753.96141479164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1" t="s">
        <v>1090</v>
      </c>
      <c r="R21" s="201"/>
      <c r="S21" s="201"/>
      <c r="T21" s="201"/>
      <c r="U21" s="96"/>
      <c r="V21" s="96"/>
      <c r="W21" s="96"/>
      <c r="X21" s="96"/>
      <c r="Y21" s="96"/>
      <c r="Z21" s="96"/>
    </row>
    <row r="22" spans="5:35">
      <c r="O22" s="99"/>
      <c r="P22" s="99"/>
      <c r="Q22" s="201"/>
      <c r="R22" s="201"/>
      <c r="S22" s="201"/>
      <c r="T22" s="20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2" t="s">
        <v>1091</v>
      </c>
      <c r="R23" s="203" t="s">
        <v>1092</v>
      </c>
      <c r="S23" s="202" t="s">
        <v>1093</v>
      </c>
      <c r="T23" s="204" t="s">
        <v>1094</v>
      </c>
      <c r="AD23" t="s">
        <v>25</v>
      </c>
    </row>
    <row r="24" spans="5:35">
      <c r="O24" s="99"/>
      <c r="P24" s="99"/>
      <c r="Q24" s="202"/>
      <c r="R24" s="203"/>
      <c r="S24" s="202"/>
      <c r="T24" s="204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4397</v>
      </c>
      <c r="L21" s="33" t="s">
        <v>4399</v>
      </c>
      <c r="M21" s="96" t="s">
        <v>4398</v>
      </c>
      <c r="N21" s="194" t="s">
        <v>4400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4359</v>
      </c>
      <c r="L23">
        <v>9149046982</v>
      </c>
      <c r="M23" t="s">
        <v>4360</v>
      </c>
      <c r="N23" t="s">
        <v>4361</v>
      </c>
      <c r="O23" t="s">
        <v>4362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S16" zoomScaleNormal="100" workbookViewId="0">
      <selection activeCell="AD36" sqref="AD3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-L86*12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4380</v>
      </c>
      <c r="AS9" s="99" t="s">
        <v>4381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4407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4382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4322</v>
      </c>
      <c r="R18" s="169" t="s">
        <v>25</v>
      </c>
      <c r="S18" s="169"/>
      <c r="T18" s="113"/>
      <c r="U18" s="169" t="s">
        <v>4406</v>
      </c>
      <c r="V18" s="73" t="s">
        <v>4408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4331</v>
      </c>
      <c r="N19" s="113">
        <f t="shared" ref="N19:N27" si="4">O19*P19</f>
        <v>10540160</v>
      </c>
      <c r="O19" s="99">
        <v>55040</v>
      </c>
      <c r="P19" s="192">
        <f>P41</f>
        <v>191.5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4344</v>
      </c>
      <c r="N20" s="113">
        <f t="shared" si="4"/>
        <v>9796569.5999999996</v>
      </c>
      <c r="O20" s="99">
        <v>33504</v>
      </c>
      <c r="P20" s="192">
        <f>P44</f>
        <v>292.39999999999998</v>
      </c>
      <c r="Q20" s="170">
        <v>9268987</v>
      </c>
      <c r="R20" s="169" t="s">
        <v>4181</v>
      </c>
      <c r="S20" s="198">
        <f>S43</f>
        <v>60</v>
      </c>
      <c r="T20" s="169" t="s">
        <v>4339</v>
      </c>
      <c r="U20" s="169">
        <v>192.1</v>
      </c>
      <c r="V20" s="169">
        <f t="shared" ref="V20:V32" si="5">U20*(1+$R$76+$Q$15*S20/36500)</f>
        <v>203.09338301369866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230</v>
      </c>
      <c r="AL20" s="113">
        <f>AI20*AK20</f>
        <v>4140000000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L55</f>
        <v>284636128</v>
      </c>
      <c r="G21" s="29">
        <f t="shared" si="0"/>
        <v>-22636128</v>
      </c>
      <c r="H21" s="11" t="s">
        <v>4216</v>
      </c>
      <c r="J21" s="25"/>
      <c r="K21" s="169" t="s">
        <v>456</v>
      </c>
      <c r="L21" s="117">
        <v>800000</v>
      </c>
      <c r="M21" s="169"/>
      <c r="N21" s="113"/>
      <c r="O21" s="99"/>
      <c r="P21" s="192"/>
      <c r="Q21" s="170">
        <v>1450345</v>
      </c>
      <c r="R21" s="169" t="s">
        <v>4335</v>
      </c>
      <c r="S21" s="198">
        <f>S20-36</f>
        <v>24</v>
      </c>
      <c r="T21" s="169" t="s">
        <v>4340</v>
      </c>
      <c r="U21" s="169">
        <v>313.7</v>
      </c>
      <c r="V21" s="169">
        <f t="shared" si="5"/>
        <v>322.98895780821914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229</v>
      </c>
      <c r="AL21" s="113">
        <f t="shared" ref="AL21:AL88" si="7">AI21*AK21</f>
        <v>572500000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/>
      <c r="L22" s="117"/>
      <c r="M22" s="169" t="s">
        <v>4442</v>
      </c>
      <c r="N22" s="113">
        <f t="shared" si="4"/>
        <v>4206544.1000000006</v>
      </c>
      <c r="O22" s="99">
        <v>781</v>
      </c>
      <c r="P22" s="99">
        <f>P45</f>
        <v>5386.1</v>
      </c>
      <c r="Q22" s="170">
        <v>400069</v>
      </c>
      <c r="R22" s="169" t="s">
        <v>4341</v>
      </c>
      <c r="S22" s="198">
        <f>S21-1</f>
        <v>23</v>
      </c>
      <c r="T22" s="169" t="s">
        <v>4342</v>
      </c>
      <c r="U22" s="169">
        <v>314.8</v>
      </c>
      <c r="V22" s="169">
        <f t="shared" si="5"/>
        <v>323.88003945205486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228</v>
      </c>
      <c r="AL22" s="113">
        <f t="shared" si="7"/>
        <v>1824000000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4403</v>
      </c>
      <c r="N23" s="113">
        <f t="shared" si="4"/>
        <v>164762.5</v>
      </c>
      <c r="O23" s="69">
        <v>125</v>
      </c>
      <c r="P23" s="99">
        <f>P43</f>
        <v>1318.1</v>
      </c>
      <c r="Q23" s="170">
        <v>8690518</v>
      </c>
      <c r="R23" s="169" t="s">
        <v>4341</v>
      </c>
      <c r="S23" s="198">
        <f>S22</f>
        <v>23</v>
      </c>
      <c r="T23" s="169" t="s">
        <v>4343</v>
      </c>
      <c r="U23" s="169">
        <v>313</v>
      </c>
      <c r="V23" s="169">
        <f t="shared" si="5"/>
        <v>322.02812054794521</v>
      </c>
      <c r="X23" s="169" t="s">
        <v>180</v>
      </c>
      <c r="Y23" s="169" t="s">
        <v>4315</v>
      </c>
      <c r="Z23" s="113" t="s">
        <v>4321</v>
      </c>
      <c r="AA23" s="113" t="s">
        <v>938</v>
      </c>
      <c r="AB23" s="56"/>
      <c r="AC23" s="56" t="s">
        <v>942</v>
      </c>
      <c r="AD23" s="56" t="s">
        <v>4323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227</v>
      </c>
      <c r="AL23" s="113">
        <f t="shared" si="7"/>
        <v>-18058304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4483</v>
      </c>
      <c r="N24" s="113">
        <f t="shared" si="4"/>
        <v>1720564.8</v>
      </c>
      <c r="O24" s="69">
        <v>2082</v>
      </c>
      <c r="P24" s="99">
        <f>P47</f>
        <v>826.4</v>
      </c>
      <c r="Q24" s="170">
        <v>106732</v>
      </c>
      <c r="R24" s="169" t="s">
        <v>4387</v>
      </c>
      <c r="S24" s="198">
        <f>S23-8</f>
        <v>15</v>
      </c>
      <c r="T24" s="169" t="s">
        <v>4404</v>
      </c>
      <c r="U24" s="169">
        <v>850</v>
      </c>
      <c r="V24" s="169">
        <f t="shared" si="5"/>
        <v>869.30082191780832</v>
      </c>
      <c r="X24" s="169" t="s">
        <v>4311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4394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226</v>
      </c>
      <c r="AL24" s="113">
        <f t="shared" si="7"/>
        <v>37403000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4499</v>
      </c>
      <c r="N25" s="113">
        <f t="shared" si="4"/>
        <v>1734996.2</v>
      </c>
      <c r="O25" s="36">
        <v>9146</v>
      </c>
      <c r="P25" s="99">
        <f>P48</f>
        <v>189.7</v>
      </c>
      <c r="Q25" s="170">
        <v>595156</v>
      </c>
      <c r="R25" s="169" t="s">
        <v>4440</v>
      </c>
      <c r="S25" s="199">
        <f>S24-8</f>
        <v>7</v>
      </c>
      <c r="T25" s="169" t="s">
        <v>4443</v>
      </c>
      <c r="U25" s="169">
        <v>5808.5</v>
      </c>
      <c r="V25" s="169">
        <f t="shared" si="5"/>
        <v>5904.7460493150693</v>
      </c>
      <c r="X25" s="113" t="s">
        <v>4341</v>
      </c>
      <c r="Y25" s="170">
        <v>-8690518</v>
      </c>
      <c r="Z25" s="169" t="s">
        <v>4465</v>
      </c>
      <c r="AA25" s="169">
        <v>-27637</v>
      </c>
      <c r="AB25" s="169" t="s">
        <v>4322</v>
      </c>
      <c r="AC25" s="169">
        <f>P44</f>
        <v>292.39999999999998</v>
      </c>
      <c r="AD25" s="113">
        <f t="shared" ref="AD25:AD34" si="8">AA25*AC25</f>
        <v>-8081058.7999999998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214</v>
      </c>
      <c r="AL25" s="113">
        <f t="shared" si="7"/>
        <v>-6169689978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4457</v>
      </c>
      <c r="N26" s="113">
        <f t="shared" si="4"/>
        <v>1720564.8</v>
      </c>
      <c r="O26" s="36">
        <v>2082</v>
      </c>
      <c r="P26" s="99">
        <f>P47</f>
        <v>826.4</v>
      </c>
      <c r="Q26" s="170">
        <v>1422187</v>
      </c>
      <c r="R26" s="169" t="s">
        <v>4451</v>
      </c>
      <c r="S26" s="198">
        <f>S25-3</f>
        <v>4</v>
      </c>
      <c r="T26" s="169" t="s">
        <v>4456</v>
      </c>
      <c r="U26" s="169">
        <v>680</v>
      </c>
      <c r="V26" s="169">
        <f t="shared" si="5"/>
        <v>689.70257534246593</v>
      </c>
      <c r="X26" s="113" t="s">
        <v>4440</v>
      </c>
      <c r="Y26" s="170">
        <v>-595156</v>
      </c>
      <c r="Z26" s="169" t="s">
        <v>4466</v>
      </c>
      <c r="AA26" s="169">
        <v>-102</v>
      </c>
      <c r="AB26" s="169" t="s">
        <v>4322</v>
      </c>
      <c r="AC26" s="169">
        <f>P45</f>
        <v>5386.1</v>
      </c>
      <c r="AD26" s="113">
        <f t="shared" si="8"/>
        <v>-549382.20000000007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208</v>
      </c>
      <c r="AL26" s="113">
        <f t="shared" si="7"/>
        <v>3848000000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4488</v>
      </c>
      <c r="N27" s="113">
        <f t="shared" si="4"/>
        <v>142085.29999999999</v>
      </c>
      <c r="O27" s="36">
        <v>749</v>
      </c>
      <c r="P27" s="99">
        <f>P48</f>
        <v>189.7</v>
      </c>
      <c r="Q27" s="170">
        <v>1422187</v>
      </c>
      <c r="R27" s="169" t="s">
        <v>4451</v>
      </c>
      <c r="S27" s="198">
        <f>S26</f>
        <v>4</v>
      </c>
      <c r="T27" s="196" t="s">
        <v>4481</v>
      </c>
      <c r="U27" s="169">
        <v>680</v>
      </c>
      <c r="V27" s="169">
        <f t="shared" si="5"/>
        <v>689.70257534246593</v>
      </c>
      <c r="X27" s="113" t="s">
        <v>4440</v>
      </c>
      <c r="Y27" s="170">
        <v>-2010885</v>
      </c>
      <c r="Z27" s="169" t="s">
        <v>4467</v>
      </c>
      <c r="AA27" s="169">
        <v>-9904</v>
      </c>
      <c r="AB27" s="169" t="s">
        <v>4325</v>
      </c>
      <c r="AC27" s="169">
        <f>P41</f>
        <v>191.5</v>
      </c>
      <c r="AD27" s="113">
        <f t="shared" si="8"/>
        <v>-1896616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207</v>
      </c>
      <c r="AL27" s="113">
        <f t="shared" si="7"/>
        <v>-3839850000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142593</v>
      </c>
      <c r="R28" s="169" t="s">
        <v>4480</v>
      </c>
      <c r="S28" s="169">
        <f>S27-2</f>
        <v>2</v>
      </c>
      <c r="T28" s="169" t="s">
        <v>4491</v>
      </c>
      <c r="U28" s="169">
        <v>189.5</v>
      </c>
      <c r="V28" s="169">
        <f t="shared" si="5"/>
        <v>191.91313972602742</v>
      </c>
      <c r="X28" s="113" t="s">
        <v>4451</v>
      </c>
      <c r="Y28" s="170">
        <v>-1994038</v>
      </c>
      <c r="Z28" s="169" t="s">
        <v>4468</v>
      </c>
      <c r="AA28" s="169">
        <v>-357</v>
      </c>
      <c r="AB28" s="169" t="s">
        <v>4325</v>
      </c>
      <c r="AC28" s="169">
        <f>AC26</f>
        <v>5386.1</v>
      </c>
      <c r="AD28" s="113">
        <f t="shared" si="8"/>
        <v>-1922837.7000000002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206</v>
      </c>
      <c r="AL28" s="113">
        <f t="shared" si="7"/>
        <v>-13381966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1734776</v>
      </c>
      <c r="R29" s="169" t="s">
        <v>4497</v>
      </c>
      <c r="S29" s="169">
        <f>S28-1</f>
        <v>1</v>
      </c>
      <c r="T29" s="197" t="s">
        <v>4498</v>
      </c>
      <c r="U29" s="169">
        <v>188.8</v>
      </c>
      <c r="V29" s="169">
        <f t="shared" si="5"/>
        <v>191.05939287671234</v>
      </c>
      <c r="X29" s="113" t="s">
        <v>4451</v>
      </c>
      <c r="Y29" s="170">
        <v>-4629290</v>
      </c>
      <c r="Z29" s="169" t="s">
        <v>4469</v>
      </c>
      <c r="AA29" s="169">
        <v>-10431</v>
      </c>
      <c r="AB29" s="169" t="s">
        <v>4325</v>
      </c>
      <c r="AC29" s="169">
        <f>P46</f>
        <v>435.6</v>
      </c>
      <c r="AD29" s="113">
        <f t="shared" si="8"/>
        <v>-4543743.6000000006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201</v>
      </c>
      <c r="AL29" s="113">
        <f t="shared" si="7"/>
        <v>1286400000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/>
      <c r="P30" s="96" t="s">
        <v>25</v>
      </c>
      <c r="Q30" s="170">
        <v>1484689</v>
      </c>
      <c r="R30" s="169" t="s">
        <v>4507</v>
      </c>
      <c r="S30" s="169">
        <f>S29-1</f>
        <v>0</v>
      </c>
      <c r="T30" s="19" t="s">
        <v>4511</v>
      </c>
      <c r="U30" s="169">
        <v>5474</v>
      </c>
      <c r="V30" s="169">
        <f t="shared" si="5"/>
        <v>5535.3088000000007</v>
      </c>
      <c r="X30" s="113" t="s">
        <v>4451</v>
      </c>
      <c r="Y30" s="170">
        <v>-3611309</v>
      </c>
      <c r="Z30" s="169" t="s">
        <v>4470</v>
      </c>
      <c r="AA30" s="169">
        <v>-12285</v>
      </c>
      <c r="AB30" s="169" t="s">
        <v>4325</v>
      </c>
      <c r="AC30" s="169">
        <f>P44</f>
        <v>292.39999999999998</v>
      </c>
      <c r="AD30" s="113">
        <f t="shared" si="8"/>
        <v>-3592133.9999999995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200</v>
      </c>
      <c r="AL30" s="113">
        <f t="shared" si="7"/>
        <v>-34000000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2197673</v>
      </c>
      <c r="R31" s="169" t="s">
        <v>4507</v>
      </c>
      <c r="S31" s="169">
        <f>S30</f>
        <v>0</v>
      </c>
      <c r="T31" s="19" t="s">
        <v>4512</v>
      </c>
      <c r="U31" s="169">
        <v>5349</v>
      </c>
      <c r="V31" s="169">
        <f t="shared" si="5"/>
        <v>5408.9088000000002</v>
      </c>
      <c r="X31" s="113" t="s">
        <v>4451</v>
      </c>
      <c r="Y31" s="170">
        <v>-2850889</v>
      </c>
      <c r="Z31" s="169" t="s">
        <v>4471</v>
      </c>
      <c r="AA31" s="169">
        <v>-4173</v>
      </c>
      <c r="AB31" s="169" t="s">
        <v>4464</v>
      </c>
      <c r="AC31" s="169">
        <f>P47</f>
        <v>826.4</v>
      </c>
      <c r="AD31" s="113">
        <f t="shared" si="8"/>
        <v>-3448567.1999999997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195</v>
      </c>
      <c r="AL31" s="113">
        <f t="shared" si="7"/>
        <v>-1228500000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273000000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1353959</v>
      </c>
      <c r="R32" s="169" t="s">
        <v>4507</v>
      </c>
      <c r="S32" s="169">
        <f>S31</f>
        <v>0</v>
      </c>
      <c r="T32" s="19" t="s">
        <v>4513</v>
      </c>
      <c r="U32" s="169">
        <v>192.2</v>
      </c>
      <c r="V32" s="169">
        <f t="shared" si="5"/>
        <v>194.35264000000001</v>
      </c>
      <c r="X32" s="113" t="s">
        <v>4478</v>
      </c>
      <c r="Y32" s="170">
        <v>-1971103</v>
      </c>
      <c r="Z32" s="169" t="s">
        <v>4502</v>
      </c>
      <c r="AA32" s="169">
        <v>-10000</v>
      </c>
      <c r="AB32" s="169" t="s">
        <v>4325</v>
      </c>
      <c r="AC32" s="169">
        <f>P41</f>
        <v>191.5</v>
      </c>
      <c r="AD32" s="113">
        <f t="shared" si="8"/>
        <v>-1915000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194</v>
      </c>
      <c r="AL32" s="113">
        <f t="shared" si="7"/>
        <v>-10090910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771444</v>
      </c>
      <c r="O33" s="22"/>
      <c r="P33" t="s">
        <v>25</v>
      </c>
      <c r="Q33" s="170"/>
      <c r="R33" s="169"/>
      <c r="S33" s="169"/>
      <c r="T33" s="169"/>
      <c r="U33" s="169"/>
      <c r="V33" s="169"/>
      <c r="X33" s="113" t="s">
        <v>4480</v>
      </c>
      <c r="Y33" s="170">
        <v>-1016030</v>
      </c>
      <c r="Z33" s="169" t="s">
        <v>4504</v>
      </c>
      <c r="AA33" s="169">
        <v>-5287</v>
      </c>
      <c r="AB33" s="169" t="s">
        <v>4325</v>
      </c>
      <c r="AC33" s="169">
        <f>P48</f>
        <v>189.7</v>
      </c>
      <c r="AD33" s="113">
        <f t="shared" si="8"/>
        <v>-1002943.8999999999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178</v>
      </c>
      <c r="AL33" s="113">
        <f t="shared" si="7"/>
        <v>3563097200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4356</v>
      </c>
      <c r="L34" s="117">
        <v>-2985000</v>
      </c>
      <c r="M34" s="169" t="s">
        <v>1087</v>
      </c>
      <c r="N34" s="113">
        <f>65*P15</f>
        <v>273000000</v>
      </c>
      <c r="P34" t="s">
        <v>25</v>
      </c>
      <c r="Q34" s="170">
        <f>SUM(N19:N27)-SUM(Q20:Q33)</f>
        <v>-243623.69999999553</v>
      </c>
      <c r="R34" s="169"/>
      <c r="S34" s="169" t="s">
        <v>25</v>
      </c>
      <c r="T34" s="169"/>
      <c r="U34" s="169"/>
      <c r="V34" s="169"/>
      <c r="X34" s="113" t="s">
        <v>4507</v>
      </c>
      <c r="Y34" s="170">
        <v>-730256</v>
      </c>
      <c r="Z34" s="169" t="s">
        <v>4514</v>
      </c>
      <c r="AA34" s="169">
        <v>-3864</v>
      </c>
      <c r="AB34" s="169" t="s">
        <v>4325</v>
      </c>
      <c r="AC34" s="169">
        <f>P48</f>
        <v>189.7</v>
      </c>
      <c r="AD34" s="113">
        <f t="shared" si="8"/>
        <v>-733000.79999999993</v>
      </c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178</v>
      </c>
      <c r="AL34" s="113">
        <f t="shared" si="7"/>
        <v>180574948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4370</v>
      </c>
      <c r="L35" s="117">
        <v>1000000</v>
      </c>
      <c r="M35" s="169" t="s">
        <v>4347</v>
      </c>
      <c r="N35" s="113">
        <v>-20000000</v>
      </c>
      <c r="R35" s="115"/>
      <c r="S35" s="115"/>
      <c r="T35" s="115"/>
      <c r="U35" s="115"/>
      <c r="V35" s="115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166</v>
      </c>
      <c r="AL35" s="113">
        <f t="shared" si="7"/>
        <v>59760000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4417</v>
      </c>
      <c r="L36" s="117">
        <v>-26000</v>
      </c>
      <c r="M36" s="169" t="s">
        <v>4379</v>
      </c>
      <c r="N36" s="113">
        <v>-50000000</v>
      </c>
      <c r="O36" s="96" t="s">
        <v>25</v>
      </c>
      <c r="P36" s="96"/>
      <c r="R36" s="115"/>
      <c r="S36" s="115"/>
      <c r="T36" s="115" t="s">
        <v>25</v>
      </c>
      <c r="U36" s="115"/>
      <c r="V36" s="115"/>
      <c r="X36" s="113"/>
      <c r="Y36" s="170"/>
      <c r="Z36" s="169"/>
      <c r="AA36" s="169"/>
      <c r="AB36" s="169"/>
      <c r="AC36" s="169"/>
      <c r="AD36" s="113">
        <v>-2395355</v>
      </c>
      <c r="AE36" s="169" t="s">
        <v>4503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164</v>
      </c>
      <c r="AL36" s="113">
        <f t="shared" si="7"/>
        <v>-57400000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99" t="s">
        <v>4475</v>
      </c>
      <c r="L37" s="117">
        <v>3000000</v>
      </c>
      <c r="M37" s="169" t="s">
        <v>4370</v>
      </c>
      <c r="N37" s="113">
        <v>1000000</v>
      </c>
      <c r="O37" s="96"/>
      <c r="P37" s="96"/>
      <c r="Q37" t="s">
        <v>25</v>
      </c>
      <c r="S37" s="26" t="s">
        <v>25</v>
      </c>
      <c r="T37" t="s">
        <v>25</v>
      </c>
      <c r="U37" s="96" t="s">
        <v>25</v>
      </c>
      <c r="V37" s="115"/>
      <c r="W37"/>
      <c r="X37" s="113"/>
      <c r="Y37" s="56"/>
      <c r="Z37" s="169"/>
      <c r="AA37" s="169"/>
      <c r="AB37" s="169"/>
      <c r="AC37" s="169"/>
      <c r="AD37" s="113">
        <v>-3000000</v>
      </c>
      <c r="AE37" s="169" t="s">
        <v>4493</v>
      </c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164</v>
      </c>
      <c r="AL37" s="113">
        <f t="shared" si="7"/>
        <v>164000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4505</v>
      </c>
      <c r="L38" s="117">
        <v>-600000</v>
      </c>
      <c r="M38" s="169" t="s">
        <v>3892</v>
      </c>
      <c r="N38" s="113">
        <v>145</v>
      </c>
      <c r="O38" s="99" t="s">
        <v>938</v>
      </c>
      <c r="P38" s="99" t="s">
        <v>3933</v>
      </c>
      <c r="T38" t="s">
        <v>25</v>
      </c>
      <c r="W38"/>
      <c r="X38" s="26"/>
      <c r="Y38" s="185"/>
      <c r="Z38" s="185"/>
      <c r="AA38" s="185"/>
      <c r="AB38" s="185"/>
      <c r="AC38" s="185"/>
      <c r="AD38" s="185"/>
      <c r="AE38" s="18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163</v>
      </c>
      <c r="AL38" s="113">
        <f t="shared" si="7"/>
        <v>5478430000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/>
      <c r="N39" s="113"/>
      <c r="O39" s="99"/>
      <c r="P39" s="99"/>
      <c r="U39" s="96" t="s">
        <v>25</v>
      </c>
      <c r="W39" t="s">
        <v>25</v>
      </c>
      <c r="X39" s="26"/>
      <c r="Y39" s="185"/>
      <c r="Z39" s="185"/>
      <c r="AA39" s="185"/>
      <c r="AB39" s="185"/>
      <c r="AC39" s="185"/>
      <c r="AD39" s="42">
        <f>SUM(AD24:AD37)</f>
        <v>-1034639.2000000002</v>
      </c>
      <c r="AE39" s="18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159</v>
      </c>
      <c r="AL39" s="113">
        <f t="shared" si="7"/>
        <v>-2480400000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32" t="s">
        <v>4437</v>
      </c>
      <c r="N40" s="113">
        <f t="shared" ref="N40:N48" si="12">O40*P40</f>
        <v>2257095.1</v>
      </c>
      <c r="O40" s="99">
        <v>611</v>
      </c>
      <c r="P40" s="99">
        <v>3694.1</v>
      </c>
      <c r="X40" s="41"/>
      <c r="Y40" s="185"/>
      <c r="Z40" s="185"/>
      <c r="AA40" s="185"/>
      <c r="AB40" s="185"/>
      <c r="AC40" s="185"/>
      <c r="AD40" s="185" t="s">
        <v>945</v>
      </c>
      <c r="AE40" s="18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156</v>
      </c>
      <c r="AL40" s="113">
        <f t="shared" si="7"/>
        <v>1170000000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 ht="30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4188</v>
      </c>
      <c r="N41" s="113">
        <f t="shared" si="12"/>
        <v>200948993</v>
      </c>
      <c r="O41" s="99">
        <v>1049342</v>
      </c>
      <c r="P41" s="99">
        <v>191.5</v>
      </c>
      <c r="Q41" s="73" t="s">
        <v>4325</v>
      </c>
      <c r="R41" s="112"/>
      <c r="S41" s="112"/>
      <c r="T41" s="112"/>
      <c r="U41" s="169" t="s">
        <v>4406</v>
      </c>
      <c r="V41" s="36" t="s">
        <v>4408</v>
      </c>
      <c r="W41"/>
      <c r="X41" s="115"/>
      <c r="Y41" s="115"/>
      <c r="Z41" s="115"/>
      <c r="AA41" s="115"/>
      <c r="AB41" s="115"/>
      <c r="AC41" s="115" t="s">
        <v>4439</v>
      </c>
      <c r="AD41" s="113">
        <f>SUM(AD25:AD37)/AA24</f>
        <v>-4335601.4678899078</v>
      </c>
      <c r="AE41" s="115" t="s">
        <v>25</v>
      </c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152</v>
      </c>
      <c r="AL41" s="113">
        <f t="shared" si="7"/>
        <v>-14896000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2"/>
        <v>3766039</v>
      </c>
      <c r="O42" s="99">
        <v>19666</v>
      </c>
      <c r="P42" s="99">
        <f>P41</f>
        <v>191.5</v>
      </c>
      <c r="Q42" s="112" t="s">
        <v>267</v>
      </c>
      <c r="R42" s="112" t="s">
        <v>180</v>
      </c>
      <c r="S42" s="112" t="s">
        <v>183</v>
      </c>
      <c r="T42" s="112" t="s">
        <v>8</v>
      </c>
      <c r="U42" s="169"/>
      <c r="V42" s="99"/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151</v>
      </c>
      <c r="AL42" s="113">
        <f t="shared" si="7"/>
        <v>-3926000000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4403</v>
      </c>
      <c r="N43" s="113">
        <f t="shared" si="12"/>
        <v>166080.59999999998</v>
      </c>
      <c r="O43" s="99">
        <v>126</v>
      </c>
      <c r="P43" s="99">
        <v>1318.1</v>
      </c>
      <c r="Q43" s="170">
        <v>184971545</v>
      </c>
      <c r="R43" s="169" t="s">
        <v>4181</v>
      </c>
      <c r="S43" s="198">
        <v>60</v>
      </c>
      <c r="T43" s="169" t="s">
        <v>4385</v>
      </c>
      <c r="U43" s="169">
        <v>192</v>
      </c>
      <c r="V43" s="99">
        <f t="shared" ref="V43:V61" si="13">U43*(1+$R$76+$Q$15*S43/36500)</f>
        <v>202.98766027397264</v>
      </c>
      <c r="W43"/>
      <c r="X43" s="115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151</v>
      </c>
      <c r="AL43" s="113">
        <f t="shared" si="7"/>
        <v>3775000000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4326</v>
      </c>
      <c r="N44" s="113">
        <f t="shared" si="12"/>
        <v>8581062.7999999989</v>
      </c>
      <c r="O44" s="69">
        <v>29347</v>
      </c>
      <c r="P44" s="69">
        <v>292.39999999999998</v>
      </c>
      <c r="Q44" s="170">
        <v>3759803</v>
      </c>
      <c r="R44" s="169" t="s">
        <v>4271</v>
      </c>
      <c r="S44" s="198">
        <f>S43-21</f>
        <v>39</v>
      </c>
      <c r="T44" s="169" t="s">
        <v>4280</v>
      </c>
      <c r="U44" s="169">
        <v>190.3</v>
      </c>
      <c r="V44" s="99">
        <f t="shared" si="13"/>
        <v>198.12471890410961</v>
      </c>
      <c r="W44"/>
      <c r="X44" s="115" t="s">
        <v>25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150</v>
      </c>
      <c r="AL44" s="113">
        <f t="shared" si="7"/>
        <v>16500000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4442</v>
      </c>
      <c r="N45" s="113">
        <f t="shared" si="12"/>
        <v>1922837.7000000002</v>
      </c>
      <c r="O45" s="69">
        <v>357</v>
      </c>
      <c r="P45" s="69">
        <v>5386.1</v>
      </c>
      <c r="Q45" s="170">
        <v>9560464</v>
      </c>
      <c r="R45" s="169" t="s">
        <v>4329</v>
      </c>
      <c r="S45" s="198">
        <f>S44-11</f>
        <v>28</v>
      </c>
      <c r="T45" s="169" t="s">
        <v>4346</v>
      </c>
      <c r="U45" s="169">
        <v>214.57</v>
      </c>
      <c r="V45" s="99">
        <f t="shared" si="13"/>
        <v>221.58203002739728</v>
      </c>
      <c r="X45" s="115"/>
      <c r="Y45" s="115"/>
      <c r="Z45" s="115"/>
      <c r="AA45" s="115"/>
      <c r="AB45" s="115"/>
      <c r="AC45" s="115" t="s">
        <v>25</v>
      </c>
      <c r="AD45" s="115"/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149</v>
      </c>
      <c r="AL45" s="113">
        <f t="shared" si="7"/>
        <v>56620000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169" t="s">
        <v>4461</v>
      </c>
      <c r="N46" s="117">
        <f t="shared" si="12"/>
        <v>4543743.6000000006</v>
      </c>
      <c r="O46" s="69">
        <v>10431</v>
      </c>
      <c r="P46" s="69">
        <v>435.6</v>
      </c>
      <c r="Q46" s="170">
        <v>2000000</v>
      </c>
      <c r="R46" s="169" t="s">
        <v>4380</v>
      </c>
      <c r="S46" s="169">
        <f>S45-11</f>
        <v>17</v>
      </c>
      <c r="T46" s="169" t="s">
        <v>4384</v>
      </c>
      <c r="U46" s="169">
        <v>206.8</v>
      </c>
      <c r="V46" s="99">
        <f t="shared" si="13"/>
        <v>211.81305863013702</v>
      </c>
      <c r="X46" s="115"/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142</v>
      </c>
      <c r="AL46" s="113">
        <f t="shared" si="7"/>
        <v>63900000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73" t="s">
        <v>4457</v>
      </c>
      <c r="N47" s="117">
        <f t="shared" si="12"/>
        <v>1719738.4</v>
      </c>
      <c r="O47" s="99">
        <v>2081</v>
      </c>
      <c r="P47" s="69">
        <v>826.4</v>
      </c>
      <c r="Q47" s="170">
        <v>107586</v>
      </c>
      <c r="R47" s="169" t="s">
        <v>4387</v>
      </c>
      <c r="S47" s="198">
        <f>S46-2</f>
        <v>15</v>
      </c>
      <c r="T47" s="169" t="s">
        <v>4402</v>
      </c>
      <c r="U47" s="169">
        <v>850</v>
      </c>
      <c r="V47" s="99">
        <f t="shared" si="13"/>
        <v>869.30082191780832</v>
      </c>
      <c r="X47" s="115"/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136</v>
      </c>
      <c r="AL47" s="113">
        <f t="shared" si="7"/>
        <v>380800000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73" t="s">
        <v>4488</v>
      </c>
      <c r="N48" s="117">
        <f t="shared" si="12"/>
        <v>2480706.9</v>
      </c>
      <c r="O48" s="69">
        <v>13077</v>
      </c>
      <c r="P48" s="69">
        <v>189.7</v>
      </c>
      <c r="Q48" s="170">
        <v>1457531</v>
      </c>
      <c r="R48" s="169" t="s">
        <v>4420</v>
      </c>
      <c r="S48" s="198">
        <f>S47-4</f>
        <v>11</v>
      </c>
      <c r="T48" s="169" t="s">
        <v>4421</v>
      </c>
      <c r="U48" s="169">
        <v>310</v>
      </c>
      <c r="V48" s="99">
        <f t="shared" si="13"/>
        <v>316.08789041095889</v>
      </c>
      <c r="X48" s="115"/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135</v>
      </c>
      <c r="AL48" s="113">
        <f t="shared" si="7"/>
        <v>-202500000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73"/>
      <c r="N49" s="117"/>
      <c r="O49" s="122"/>
      <c r="P49" s="122"/>
      <c r="Q49" s="170">
        <v>1429825</v>
      </c>
      <c r="R49" s="169" t="s">
        <v>4415</v>
      </c>
      <c r="S49" s="169">
        <f>S48-1</f>
        <v>10</v>
      </c>
      <c r="T49" s="169" t="s">
        <v>4426</v>
      </c>
      <c r="U49" s="169">
        <v>203.9</v>
      </c>
      <c r="V49" s="99">
        <f t="shared" si="13"/>
        <v>207.74784438356167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135</v>
      </c>
      <c r="AL49" s="113">
        <f t="shared" si="7"/>
        <v>411750000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99"/>
      <c r="M50" s="169" t="s">
        <v>1155</v>
      </c>
      <c r="N50" s="117">
        <v>14908</v>
      </c>
      <c r="O50" s="96" t="s">
        <v>25</v>
      </c>
      <c r="P50" t="s">
        <v>25</v>
      </c>
      <c r="Q50" s="170">
        <v>1420747</v>
      </c>
      <c r="R50" s="169" t="s">
        <v>4415</v>
      </c>
      <c r="S50" s="169">
        <f>S49</f>
        <v>10</v>
      </c>
      <c r="T50" s="169" t="s">
        <v>4428</v>
      </c>
      <c r="U50" s="169">
        <v>203.1</v>
      </c>
      <c r="V50" s="99">
        <f t="shared" si="13"/>
        <v>206.9327473972603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132</v>
      </c>
      <c r="AL50" s="113">
        <f t="shared" si="7"/>
        <v>-1095548784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99"/>
      <c r="M51" s="169" t="s">
        <v>1156</v>
      </c>
      <c r="N51" s="117">
        <v>5282</v>
      </c>
      <c r="O51" s="96"/>
      <c r="Q51" s="170">
        <v>2864946</v>
      </c>
      <c r="R51" s="169" t="s">
        <v>4415</v>
      </c>
      <c r="S51" s="200">
        <f>S50</f>
        <v>10</v>
      </c>
      <c r="T51" s="169" t="s">
        <v>4430</v>
      </c>
      <c r="U51" s="169">
        <v>303.60000000000002</v>
      </c>
      <c r="V51" s="99">
        <f t="shared" si="13"/>
        <v>309.32930630136991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130</v>
      </c>
      <c r="AL51" s="113">
        <f t="shared" si="7"/>
        <v>650000000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2412371</v>
      </c>
      <c r="R52" s="169" t="s">
        <v>4418</v>
      </c>
      <c r="S52" s="169">
        <f>S51-1</f>
        <v>9</v>
      </c>
      <c r="T52" s="169" t="s">
        <v>4436</v>
      </c>
      <c r="U52" s="169">
        <v>3930</v>
      </c>
      <c r="V52" s="99">
        <f t="shared" si="13"/>
        <v>4001.1491506849325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116</v>
      </c>
      <c r="AL52" s="113">
        <f t="shared" si="7"/>
        <v>-10440000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25</v>
      </c>
      <c r="L53" s="117"/>
      <c r="M53" s="169" t="s">
        <v>4189</v>
      </c>
      <c r="N53" s="113">
        <f>-O53*P53</f>
        <v>-15851029.5</v>
      </c>
      <c r="O53" s="99">
        <v>82773</v>
      </c>
      <c r="P53" s="99">
        <f>P41</f>
        <v>191.5</v>
      </c>
      <c r="Q53" s="170">
        <v>2010885</v>
      </c>
      <c r="R53" s="169" t="s">
        <v>4440</v>
      </c>
      <c r="S53" s="169">
        <f>S52-2</f>
        <v>7</v>
      </c>
      <c r="T53" s="169" t="s">
        <v>4446</v>
      </c>
      <c r="U53" s="169">
        <v>202.1</v>
      </c>
      <c r="V53" s="99">
        <f t="shared" si="13"/>
        <v>205.44876931506852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115</v>
      </c>
      <c r="AL53" s="113">
        <f t="shared" si="7"/>
        <v>644000000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/>
      <c r="N54" s="113"/>
      <c r="O54" s="96"/>
      <c r="P54" s="96"/>
      <c r="Q54" s="170">
        <v>1994038</v>
      </c>
      <c r="R54" s="169" t="s">
        <v>4451</v>
      </c>
      <c r="S54" s="169">
        <f>S53-3</f>
        <v>4</v>
      </c>
      <c r="T54" s="169" t="s">
        <v>4485</v>
      </c>
      <c r="U54" s="169">
        <v>5560.3</v>
      </c>
      <c r="V54" s="99">
        <f t="shared" si="13"/>
        <v>5639.6371024657547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111</v>
      </c>
      <c r="AL54" s="113">
        <f t="shared" si="7"/>
        <v>83250000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 t="s">
        <v>598</v>
      </c>
      <c r="L55" s="113">
        <f>SUM(L16:L44)</f>
        <v>284636128</v>
      </c>
      <c r="M55" s="169"/>
      <c r="N55" s="113">
        <f>SUM(N16:N54)</f>
        <v>387517348.89999998</v>
      </c>
      <c r="O55" t="s">
        <v>25</v>
      </c>
      <c r="Q55" s="170">
        <v>4629290</v>
      </c>
      <c r="R55" s="169" t="s">
        <v>4451</v>
      </c>
      <c r="S55" s="200">
        <f>S54</f>
        <v>4</v>
      </c>
      <c r="T55" s="169" t="s">
        <v>4462</v>
      </c>
      <c r="U55" s="169">
        <v>441.8</v>
      </c>
      <c r="V55" s="99">
        <f t="shared" si="13"/>
        <v>448.1038202739727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109</v>
      </c>
      <c r="AL55" s="171">
        <f t="shared" si="7"/>
        <v>-462378000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599</v>
      </c>
      <c r="L56" s="113">
        <f>L16+L17+L21</f>
        <v>823202</v>
      </c>
      <c r="M56" s="169"/>
      <c r="N56" s="113">
        <f>N16+N17+N31</f>
        <v>-7447714</v>
      </c>
      <c r="P56" t="s">
        <v>25</v>
      </c>
      <c r="Q56" s="170">
        <v>4489908</v>
      </c>
      <c r="R56" s="169" t="s">
        <v>4451</v>
      </c>
      <c r="S56" s="169">
        <f>S55</f>
        <v>4</v>
      </c>
      <c r="T56" s="169" t="s">
        <v>4459</v>
      </c>
      <c r="U56" s="169">
        <v>292.60000000000002</v>
      </c>
      <c r="V56" s="99">
        <f t="shared" si="13"/>
        <v>296.77496109589049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107</v>
      </c>
      <c r="AL56" s="113">
        <f t="shared" si="7"/>
        <v>438700000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56" t="s">
        <v>716</v>
      </c>
      <c r="L57" s="1">
        <f>L55+N7</f>
        <v>354636128</v>
      </c>
      <c r="M57" s="113"/>
      <c r="N57" s="169"/>
      <c r="O57" s="22"/>
      <c r="Q57" s="170">
        <v>1421504</v>
      </c>
      <c r="R57" s="169" t="s">
        <v>4451</v>
      </c>
      <c r="S57" s="198">
        <f>S56</f>
        <v>4</v>
      </c>
      <c r="T57" s="169" t="s">
        <v>4460</v>
      </c>
      <c r="U57" s="169">
        <v>680</v>
      </c>
      <c r="V57" s="99">
        <f t="shared" si="13"/>
        <v>689.70257534246593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107</v>
      </c>
      <c r="AL57" s="113">
        <f t="shared" si="7"/>
        <v>438700000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t="s">
        <v>4304</v>
      </c>
      <c r="P58" t="s">
        <v>25</v>
      </c>
      <c r="Q58" s="170">
        <v>1971103</v>
      </c>
      <c r="R58" s="169" t="s">
        <v>4478</v>
      </c>
      <c r="S58" s="169">
        <f>S57-1</f>
        <v>3</v>
      </c>
      <c r="T58" s="169" t="s">
        <v>4479</v>
      </c>
      <c r="U58" s="169">
        <v>196.2</v>
      </c>
      <c r="V58" s="99">
        <f t="shared" si="13"/>
        <v>198.8489687671233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106</v>
      </c>
      <c r="AL58" s="113">
        <f t="shared" si="7"/>
        <v>83740000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M59" s="25" t="s">
        <v>4117</v>
      </c>
      <c r="O59" s="114"/>
      <c r="Q59" s="170">
        <v>1000913</v>
      </c>
      <c r="R59" s="169" t="s">
        <v>4480</v>
      </c>
      <c r="S59" s="169">
        <f>S58-1</f>
        <v>2</v>
      </c>
      <c r="T59" s="169" t="s">
        <v>4487</v>
      </c>
      <c r="U59" s="169">
        <v>191.3</v>
      </c>
      <c r="V59" s="99">
        <f t="shared" si="13"/>
        <v>193.73606136986305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91</v>
      </c>
      <c r="AL59" s="173">
        <f t="shared" si="7"/>
        <v>-351715000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M60" s="25" t="s">
        <v>4085</v>
      </c>
      <c r="Q60" s="170">
        <v>157443</v>
      </c>
      <c r="R60" s="169" t="s">
        <v>4480</v>
      </c>
      <c r="S60" s="169">
        <f>S59</f>
        <v>2</v>
      </c>
      <c r="T60" s="169" t="s">
        <v>4500</v>
      </c>
      <c r="U60" s="169">
        <v>189.5</v>
      </c>
      <c r="V60" s="99">
        <f t="shared" si="13"/>
        <v>191.91313972602742</v>
      </c>
      <c r="X60" s="99" t="s">
        <v>4253</v>
      </c>
      <c r="Y60" s="99">
        <v>218</v>
      </c>
      <c r="Z60" s="99">
        <v>10000</v>
      </c>
      <c r="AA60" s="99" t="s">
        <v>61</v>
      </c>
      <c r="AB60" s="99">
        <v>224.5</v>
      </c>
      <c r="AC60" s="99" t="s">
        <v>4330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85</v>
      </c>
      <c r="AL60" s="113">
        <f t="shared" si="7"/>
        <v>1598000000</v>
      </c>
      <c r="AM60" s="20"/>
    </row>
    <row r="61" spans="1:39" ht="3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M61" s="178" t="s">
        <v>4121</v>
      </c>
      <c r="P61" t="s">
        <v>25</v>
      </c>
      <c r="Q61" s="170">
        <v>1330173</v>
      </c>
      <c r="R61" s="169" t="s">
        <v>4507</v>
      </c>
      <c r="S61" s="169">
        <f>S60-2</f>
        <v>0</v>
      </c>
      <c r="T61" s="169" t="s">
        <v>4508</v>
      </c>
      <c r="U61" s="169">
        <v>188.1</v>
      </c>
      <c r="V61" s="99">
        <f t="shared" si="13"/>
        <v>190.20672000000002</v>
      </c>
      <c r="X61" s="99" t="s">
        <v>4253</v>
      </c>
      <c r="Y61" s="99">
        <v>216.1</v>
      </c>
      <c r="Z61" s="99">
        <v>10000</v>
      </c>
      <c r="AA61" s="99" t="s">
        <v>61</v>
      </c>
      <c r="AB61" s="99">
        <v>222.5</v>
      </c>
      <c r="AC61" s="99" t="s">
        <v>4330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82</v>
      </c>
      <c r="AL61" s="113">
        <f t="shared" si="7"/>
        <v>41000000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3"/>
      <c r="L62" s="11" t="s">
        <v>304</v>
      </c>
      <c r="M62" s="122"/>
      <c r="N62" s="96"/>
      <c r="P62" s="115"/>
      <c r="Q62" s="170"/>
      <c r="R62" s="169"/>
      <c r="S62" s="169"/>
      <c r="T62" s="169"/>
      <c r="U62" s="169"/>
      <c r="V62" s="99"/>
      <c r="X62" s="99" t="s">
        <v>4253</v>
      </c>
      <c r="Y62" s="99">
        <v>215</v>
      </c>
      <c r="Z62" s="99">
        <v>24349</v>
      </c>
      <c r="AA62" s="99" t="s">
        <v>1020</v>
      </c>
      <c r="AB62" s="99">
        <v>221.5</v>
      </c>
      <c r="AC62" s="99" t="s">
        <v>4330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81</v>
      </c>
      <c r="AL62" s="113">
        <f t="shared" si="7"/>
        <v>16200000</v>
      </c>
      <c r="AM62" s="20"/>
    </row>
    <row r="63" spans="1:39">
      <c r="E63" s="26"/>
      <c r="K63" s="1" t="s">
        <v>305</v>
      </c>
      <c r="L63" s="1">
        <v>70000</v>
      </c>
      <c r="M63" s="122" t="s">
        <v>4305</v>
      </c>
      <c r="N63" s="96" t="s">
        <v>25</v>
      </c>
      <c r="P63" s="115"/>
      <c r="Q63" s="170"/>
      <c r="R63" s="169"/>
      <c r="S63" s="169"/>
      <c r="T63" s="169"/>
      <c r="U63" s="169"/>
      <c r="V63" s="99"/>
      <c r="X63" s="99" t="s">
        <v>4253</v>
      </c>
      <c r="Y63" s="99">
        <v>207</v>
      </c>
      <c r="Z63" s="99">
        <v>9625</v>
      </c>
      <c r="AA63" s="99" t="s">
        <v>61</v>
      </c>
      <c r="AB63" s="99">
        <v>215</v>
      </c>
      <c r="AC63" s="99" t="s">
        <v>4330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78</v>
      </c>
      <c r="AL63" s="113">
        <f t="shared" si="7"/>
        <v>78000000</v>
      </c>
      <c r="AM63" s="20"/>
    </row>
    <row r="64" spans="1:39">
      <c r="E64" s="26"/>
      <c r="K64" s="1" t="s">
        <v>321</v>
      </c>
      <c r="L64" s="1">
        <v>100000</v>
      </c>
      <c r="M64" s="122" t="s">
        <v>4306</v>
      </c>
      <c r="P64" s="115"/>
      <c r="Q64" s="170"/>
      <c r="R64" s="169"/>
      <c r="S64" s="169"/>
      <c r="T64" s="169"/>
      <c r="U64" s="169"/>
      <c r="V64" s="99"/>
      <c r="X64" s="99" t="s">
        <v>4253</v>
      </c>
      <c r="Y64" s="99">
        <v>203.9</v>
      </c>
      <c r="Z64" s="99">
        <v>6980</v>
      </c>
      <c r="AA64" s="99" t="s">
        <v>1020</v>
      </c>
      <c r="AB64" s="99">
        <v>210.2</v>
      </c>
      <c r="AC64" s="99" t="s">
        <v>4330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75</v>
      </c>
      <c r="AL64" s="113">
        <f t="shared" si="7"/>
        <v>97500000</v>
      </c>
      <c r="AM64" s="20"/>
    </row>
    <row r="65" spans="1:39">
      <c r="K65" s="1" t="s">
        <v>306</v>
      </c>
      <c r="L65" s="1">
        <v>80000</v>
      </c>
      <c r="M65" s="122" t="s">
        <v>4307</v>
      </c>
      <c r="P65" s="115"/>
      <c r="Q65" s="113">
        <f>SUM(N40:N48)-SUM(Q43:Q64)</f>
        <v>-2603777.900000006</v>
      </c>
      <c r="R65" s="112"/>
      <c r="S65" s="112"/>
      <c r="T65" s="112"/>
      <c r="U65" s="169"/>
      <c r="V65" s="99" t="s">
        <v>25</v>
      </c>
      <c r="X65" s="99" t="s">
        <v>4253</v>
      </c>
      <c r="Y65" s="99">
        <v>203.1</v>
      </c>
      <c r="Z65" s="99">
        <v>6963</v>
      </c>
      <c r="AA65" s="99" t="s">
        <v>61</v>
      </c>
      <c r="AB65" s="99">
        <v>209.4</v>
      </c>
      <c r="AC65" s="99" t="s">
        <v>4330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75</v>
      </c>
      <c r="AL65" s="113">
        <f t="shared" si="7"/>
        <v>74625000</v>
      </c>
      <c r="AM65" s="20"/>
    </row>
    <row r="66" spans="1:39">
      <c r="K66" s="31" t="s">
        <v>307</v>
      </c>
      <c r="L66" s="1">
        <v>150000</v>
      </c>
      <c r="M66" s="122" t="s">
        <v>4308</v>
      </c>
      <c r="P66" s="115"/>
      <c r="Q66" s="26"/>
      <c r="R66" s="185"/>
      <c r="S66" s="185"/>
      <c r="T66" t="s">
        <v>25</v>
      </c>
      <c r="U66" s="96" t="s">
        <v>25</v>
      </c>
      <c r="V66" s="96" t="s">
        <v>25</v>
      </c>
      <c r="X66" s="99" t="s">
        <v>4253</v>
      </c>
      <c r="Y66" s="99">
        <v>202.1</v>
      </c>
      <c r="Z66" s="99">
        <v>9904</v>
      </c>
      <c r="AA66" s="99" t="s">
        <v>61</v>
      </c>
      <c r="AB66" s="99">
        <v>208.5</v>
      </c>
      <c r="AC66" s="99" t="s">
        <v>4330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73</v>
      </c>
      <c r="AL66" s="113">
        <f t="shared" si="7"/>
        <v>949000000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308</v>
      </c>
      <c r="L67" s="1">
        <v>300000</v>
      </c>
      <c r="M67" s="190" t="s">
        <v>4309</v>
      </c>
      <c r="P67" s="115"/>
      <c r="R67" t="s">
        <v>25</v>
      </c>
      <c r="T67" t="s">
        <v>25</v>
      </c>
      <c r="U67" s="96" t="s">
        <v>25</v>
      </c>
      <c r="V67" s="96" t="s">
        <v>25</v>
      </c>
      <c r="X67" s="99" t="s">
        <v>4253</v>
      </c>
      <c r="Y67" s="99">
        <v>196.2</v>
      </c>
      <c r="Z67" s="99">
        <v>10000</v>
      </c>
      <c r="AA67" s="99" t="s">
        <v>61</v>
      </c>
      <c r="AB67" s="99">
        <v>202.4</v>
      </c>
      <c r="AC67" s="99" t="s">
        <v>4330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71</v>
      </c>
      <c r="AL67" s="113">
        <f t="shared" si="7"/>
        <v>-220100000</v>
      </c>
      <c r="AM67" s="20"/>
    </row>
    <row r="68" spans="1:39">
      <c r="F68" t="s">
        <v>4108</v>
      </c>
      <c r="G68" t="s">
        <v>4103</v>
      </c>
      <c r="K68" s="31" t="s">
        <v>309</v>
      </c>
      <c r="L68" s="1">
        <v>100000</v>
      </c>
      <c r="M68" s="191" t="s">
        <v>4312</v>
      </c>
      <c r="P68" s="115"/>
      <c r="Q68" t="s">
        <v>25</v>
      </c>
      <c r="R68" t="s">
        <v>25</v>
      </c>
      <c r="T68" t="s">
        <v>25</v>
      </c>
      <c r="U68" s="96" t="s">
        <v>25</v>
      </c>
      <c r="X68" s="23" t="s">
        <v>4331</v>
      </c>
      <c r="Y68" s="169">
        <v>192.2</v>
      </c>
      <c r="Z68" s="169">
        <v>7012</v>
      </c>
      <c r="AA68" s="99" t="s">
        <v>61</v>
      </c>
      <c r="AB68" s="99">
        <v>197</v>
      </c>
      <c r="AC68" s="99" t="s">
        <v>4330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68</v>
      </c>
      <c r="AL68" s="113">
        <f t="shared" si="7"/>
        <v>3103520000</v>
      </c>
      <c r="AM68" s="20"/>
    </row>
    <row r="69" spans="1:39">
      <c r="F69" t="s">
        <v>4109</v>
      </c>
      <c r="G69" t="s">
        <v>4105</v>
      </c>
      <c r="K69" s="31" t="s">
        <v>310</v>
      </c>
      <c r="L69" s="1">
        <v>200000</v>
      </c>
      <c r="M69" s="122" t="s">
        <v>4326</v>
      </c>
      <c r="P69" s="115"/>
      <c r="Q69" t="s">
        <v>25</v>
      </c>
      <c r="S69" t="s">
        <v>25</v>
      </c>
      <c r="T69" t="s">
        <v>25</v>
      </c>
      <c r="U69" s="96" t="s">
        <v>25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67</v>
      </c>
      <c r="AL69" s="113">
        <f t="shared" si="7"/>
        <v>2244500000</v>
      </c>
      <c r="AM69" s="20"/>
    </row>
    <row r="70" spans="1:39">
      <c r="G70" t="s">
        <v>4106</v>
      </c>
      <c r="K70" s="18" t="s">
        <v>311</v>
      </c>
      <c r="L70" s="18">
        <v>300000</v>
      </c>
      <c r="M70" s="122" t="s">
        <v>4472</v>
      </c>
      <c r="P70" s="115"/>
      <c r="Q70" s="96">
        <f>O41+O42+O19-O53</f>
        <v>1041275</v>
      </c>
      <c r="R70" s="113">
        <f>Q70*P41</f>
        <v>199404162.5</v>
      </c>
      <c r="S70" t="s">
        <v>25</v>
      </c>
      <c r="T70" t="s">
        <v>25</v>
      </c>
      <c r="U70" s="96" t="s">
        <v>25</v>
      </c>
      <c r="V70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66</v>
      </c>
      <c r="AL70" s="117">
        <f t="shared" si="7"/>
        <v>792000000</v>
      </c>
      <c r="AM70" s="20"/>
    </row>
    <row r="71" spans="1:39">
      <c r="G71" t="s">
        <v>4107</v>
      </c>
      <c r="K71" s="32" t="s">
        <v>312</v>
      </c>
      <c r="L71" s="1">
        <v>200000</v>
      </c>
      <c r="M71" s="96" t="s">
        <v>4463</v>
      </c>
      <c r="N71" s="96"/>
      <c r="O71" s="96"/>
      <c r="P71" s="115"/>
      <c r="Q71" t="s">
        <v>4286</v>
      </c>
      <c r="R71" t="s">
        <v>4283</v>
      </c>
      <c r="U71" s="96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65</v>
      </c>
      <c r="AL71" s="117">
        <f t="shared" si="7"/>
        <v>1007500000</v>
      </c>
      <c r="AM71" s="20"/>
    </row>
    <row r="72" spans="1:39">
      <c r="G72" t="s">
        <v>4111</v>
      </c>
      <c r="K72" s="32" t="s">
        <v>313</v>
      </c>
      <c r="L72" s="1">
        <v>20000</v>
      </c>
      <c r="M72" s="96"/>
      <c r="N72" s="96"/>
      <c r="O72" s="96"/>
      <c r="P72" s="115"/>
      <c r="R72" t="s">
        <v>25</v>
      </c>
      <c r="Y72" t="s">
        <v>950</v>
      </c>
      <c r="Z72" t="s">
        <v>61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61</v>
      </c>
      <c r="AL72" s="117">
        <f t="shared" si="7"/>
        <v>9150000</v>
      </c>
      <c r="AM72" s="20"/>
    </row>
    <row r="73" spans="1:39">
      <c r="G73" t="s">
        <v>4110</v>
      </c>
      <c r="K73" s="32" t="s">
        <v>315</v>
      </c>
      <c r="L73" s="1">
        <v>50000</v>
      </c>
      <c r="M73" s="96"/>
      <c r="N73" s="96"/>
      <c r="O73" s="96"/>
      <c r="P73" s="115"/>
      <c r="Y73">
        <v>198</v>
      </c>
      <c r="Z73">
        <v>191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60</v>
      </c>
      <c r="AL73" s="182">
        <f t="shared" si="7"/>
        <v>1740000000</v>
      </c>
      <c r="AM73" s="181" t="s">
        <v>4195</v>
      </c>
    </row>
    <row r="74" spans="1:39">
      <c r="K74" s="32" t="s">
        <v>316</v>
      </c>
      <c r="L74" s="1">
        <v>90000</v>
      </c>
      <c r="M74" s="96"/>
      <c r="N74" s="96"/>
      <c r="O74" s="96"/>
      <c r="P74" s="115"/>
      <c r="Q74" t="s">
        <v>950</v>
      </c>
      <c r="R74">
        <v>6.3E-3</v>
      </c>
      <c r="T74" t="s">
        <v>25</v>
      </c>
      <c r="Y74">
        <v>199</v>
      </c>
      <c r="Z74">
        <v>190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45</v>
      </c>
      <c r="AL74" s="117">
        <f t="shared" si="7"/>
        <v>-5850000</v>
      </c>
      <c r="AM74" s="20" t="s">
        <v>4221</v>
      </c>
    </row>
    <row r="75" spans="1:39">
      <c r="K75" s="32" t="s">
        <v>317</v>
      </c>
      <c r="L75" s="1">
        <v>50000</v>
      </c>
      <c r="M75" s="96"/>
      <c r="N75" s="96"/>
      <c r="O75" s="96"/>
      <c r="P75" s="115"/>
      <c r="Q75" t="s">
        <v>61</v>
      </c>
      <c r="R75">
        <v>4.8999999999999998E-3</v>
      </c>
      <c r="T75" t="s">
        <v>4476</v>
      </c>
      <c r="Y75">
        <v>200</v>
      </c>
      <c r="Z75">
        <v>189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38</v>
      </c>
      <c r="AL75" s="117">
        <f>AI75*AK75</f>
        <v>8816000</v>
      </c>
      <c r="AM75" s="20" t="s">
        <v>4277</v>
      </c>
    </row>
    <row r="76" spans="1:39">
      <c r="K76" s="32" t="s">
        <v>327</v>
      </c>
      <c r="L76" s="1">
        <v>150000</v>
      </c>
      <c r="M76" s="96"/>
      <c r="N76" s="96"/>
      <c r="O76" s="96"/>
      <c r="P76" s="115"/>
      <c r="Q76" t="s">
        <v>6</v>
      </c>
      <c r="R76">
        <f>R74+R75</f>
        <v>1.12E-2</v>
      </c>
      <c r="Y76">
        <v>201</v>
      </c>
      <c r="Z76">
        <v>188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4"/>
        <v>36</v>
      </c>
      <c r="AL76" s="117">
        <f t="shared" si="7"/>
        <v>-6120000</v>
      </c>
      <c r="AM76" s="20"/>
    </row>
    <row r="77" spans="1:39">
      <c r="K77" s="32" t="s">
        <v>318</v>
      </c>
      <c r="L77" s="1">
        <v>15000</v>
      </c>
      <c r="N77" s="96"/>
      <c r="P77" s="115"/>
      <c r="Z77">
        <v>187</v>
      </c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4"/>
        <v>33</v>
      </c>
      <c r="AL77" s="117">
        <f t="shared" si="7"/>
        <v>-9900000</v>
      </c>
      <c r="AM77" s="20"/>
    </row>
    <row r="78" spans="1:39">
      <c r="K78" s="32" t="s">
        <v>319</v>
      </c>
      <c r="L78" s="1">
        <v>20000</v>
      </c>
      <c r="N78" s="96"/>
      <c r="P78" s="115"/>
      <c r="Z78">
        <v>186</v>
      </c>
      <c r="AD78" s="115"/>
      <c r="AG78" s="20">
        <v>58</v>
      </c>
      <c r="AH78" s="117" t="s">
        <v>4320</v>
      </c>
      <c r="AI78" s="117">
        <v>-11400000</v>
      </c>
      <c r="AJ78" s="20">
        <v>13</v>
      </c>
      <c r="AK78" s="99">
        <f t="shared" si="14"/>
        <v>30</v>
      </c>
      <c r="AL78" s="117">
        <f t="shared" si="7"/>
        <v>-342000000</v>
      </c>
      <c r="AM78" s="20"/>
    </row>
    <row r="79" spans="1:39">
      <c r="K79" s="32" t="s">
        <v>320</v>
      </c>
      <c r="L79" s="1">
        <v>40000</v>
      </c>
      <c r="N79" s="96"/>
      <c r="P79" s="115"/>
      <c r="Z79">
        <v>185</v>
      </c>
      <c r="AD79" s="115"/>
      <c r="AE79" s="115"/>
      <c r="AG79" s="20">
        <v>59</v>
      </c>
      <c r="AH79" s="117" t="s">
        <v>4386</v>
      </c>
      <c r="AI79" s="117">
        <v>-10000000</v>
      </c>
      <c r="AJ79" s="20">
        <v>1</v>
      </c>
      <c r="AK79" s="99">
        <f t="shared" si="14"/>
        <v>17</v>
      </c>
      <c r="AL79" s="117">
        <f t="shared" si="7"/>
        <v>-170000000</v>
      </c>
      <c r="AM79" s="20"/>
    </row>
    <row r="80" spans="1:39">
      <c r="K80" s="32" t="s">
        <v>322</v>
      </c>
      <c r="L80" s="1">
        <v>150000</v>
      </c>
      <c r="N80" s="96"/>
      <c r="P80" s="115"/>
      <c r="X80" s="115"/>
      <c r="Z80">
        <v>184</v>
      </c>
      <c r="AD80" s="115"/>
      <c r="AE80" s="115"/>
      <c r="AG80" s="20">
        <v>60</v>
      </c>
      <c r="AH80" s="117" t="s">
        <v>4387</v>
      </c>
      <c r="AI80" s="117">
        <v>-2450000</v>
      </c>
      <c r="AJ80" s="20">
        <v>5</v>
      </c>
      <c r="AK80" s="99">
        <f t="shared" si="14"/>
        <v>16</v>
      </c>
      <c r="AL80" s="117">
        <f t="shared" si="7"/>
        <v>-39200000</v>
      </c>
      <c r="AM80" s="20"/>
    </row>
    <row r="81" spans="11:51">
      <c r="K81" s="32" t="s">
        <v>324</v>
      </c>
      <c r="L81" s="1">
        <v>75000</v>
      </c>
      <c r="P81" s="115"/>
      <c r="X81" s="163"/>
      <c r="Z81">
        <v>183</v>
      </c>
      <c r="AD81" s="115"/>
      <c r="AE81" s="115"/>
      <c r="AG81" s="20">
        <v>61</v>
      </c>
      <c r="AH81" s="117" t="s">
        <v>4415</v>
      </c>
      <c r="AI81" s="117">
        <v>-456081</v>
      </c>
      <c r="AJ81" s="20">
        <v>1</v>
      </c>
      <c r="AK81" s="99">
        <f t="shared" si="14"/>
        <v>11</v>
      </c>
      <c r="AL81" s="117">
        <f t="shared" si="7"/>
        <v>-5016891</v>
      </c>
      <c r="AM81" s="20"/>
    </row>
    <row r="82" spans="11:51">
      <c r="K82" s="32" t="s">
        <v>314</v>
      </c>
      <c r="L82" s="1">
        <v>140000</v>
      </c>
      <c r="P82" s="115"/>
      <c r="Q82" s="185"/>
      <c r="R82" s="185"/>
      <c r="S82" s="115"/>
      <c r="X82" s="115"/>
      <c r="Y82" s="115"/>
      <c r="Z82" s="115">
        <v>182</v>
      </c>
      <c r="AA82" s="115"/>
      <c r="AB82" s="115"/>
      <c r="AC82" s="115"/>
      <c r="AD82" s="115"/>
      <c r="AE82" s="115"/>
      <c r="AG82" s="20">
        <v>62</v>
      </c>
      <c r="AH82" s="117" t="s">
        <v>4418</v>
      </c>
      <c r="AI82" s="117">
        <v>-500000</v>
      </c>
      <c r="AJ82" s="20">
        <v>2</v>
      </c>
      <c r="AK82" s="99">
        <f t="shared" si="14"/>
        <v>10</v>
      </c>
      <c r="AL82" s="117">
        <f t="shared" si="7"/>
        <v>-5000000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478</v>
      </c>
      <c r="L83" s="3">
        <v>1083333</v>
      </c>
      <c r="P83" s="115"/>
      <c r="Q83" s="115"/>
      <c r="R83" s="115"/>
      <c r="S83" s="115"/>
      <c r="X83" s="115"/>
      <c r="Y83" s="128" t="s">
        <v>4516</v>
      </c>
      <c r="Z83" s="115"/>
      <c r="AA83" s="115"/>
      <c r="AB83" s="115"/>
      <c r="AC83" s="128"/>
      <c r="AD83" s="115"/>
      <c r="AE83" s="115"/>
      <c r="AG83" s="20">
        <v>63</v>
      </c>
      <c r="AH83" s="117" t="s">
        <v>4440</v>
      </c>
      <c r="AI83" s="117">
        <v>-6234370</v>
      </c>
      <c r="AJ83" s="20">
        <v>3</v>
      </c>
      <c r="AK83" s="99">
        <f t="shared" si="14"/>
        <v>8</v>
      </c>
      <c r="AL83" s="117">
        <f t="shared" si="7"/>
        <v>-49874960</v>
      </c>
      <c r="AM83" s="20"/>
    </row>
    <row r="84" spans="11:51">
      <c r="K84" s="2"/>
      <c r="L84" s="3"/>
      <c r="P84" s="128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4451</v>
      </c>
      <c r="AI84" s="117">
        <v>1950957</v>
      </c>
      <c r="AJ84" s="20">
        <v>4</v>
      </c>
      <c r="AK84" s="99">
        <f t="shared" si="14"/>
        <v>5</v>
      </c>
      <c r="AL84" s="117">
        <f t="shared" si="7"/>
        <v>9754785</v>
      </c>
      <c r="AM84" s="20"/>
      <c r="AY84" t="s">
        <v>25</v>
      </c>
    </row>
    <row r="85" spans="11:51">
      <c r="K85" s="2"/>
      <c r="L85" s="3"/>
      <c r="P85" s="128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4507</v>
      </c>
      <c r="AI85" s="117">
        <v>600000</v>
      </c>
      <c r="AJ85" s="20">
        <v>1</v>
      </c>
      <c r="AK85" s="99">
        <f t="shared" si="14"/>
        <v>1</v>
      </c>
      <c r="AL85" s="117">
        <f t="shared" si="7"/>
        <v>600000</v>
      </c>
      <c r="AM85" s="20"/>
      <c r="AU85" t="s">
        <v>25</v>
      </c>
    </row>
    <row r="86" spans="11:51">
      <c r="K86" s="2" t="s">
        <v>6</v>
      </c>
      <c r="L86" s="3">
        <f>SUM(L63:L84)</f>
        <v>3383333</v>
      </c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K87" s="2" t="s">
        <v>328</v>
      </c>
      <c r="L87" s="3">
        <f>L86/30</f>
        <v>112777.76666666666</v>
      </c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O88" s="115"/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193734405</v>
      </c>
      <c r="AJ89" s="99"/>
      <c r="AK89" s="99"/>
      <c r="AL89" s="95">
        <f>SUM(AL20:AL88)</f>
        <v>20205544140</v>
      </c>
      <c r="AM89" s="95">
        <f>AL89*AM92/31</f>
        <v>13035834.929032259</v>
      </c>
      <c r="AP89" t="s">
        <v>25</v>
      </c>
      <c r="AU89" t="s">
        <v>25</v>
      </c>
    </row>
    <row r="90" spans="11:51"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8" t="s">
        <v>788</v>
      </c>
      <c r="L93" s="48" t="s">
        <v>476</v>
      </c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7">
        <v>700000</v>
      </c>
      <c r="L94" s="48" t="s">
        <v>1040</v>
      </c>
      <c r="Q94" s="115"/>
      <c r="R94" s="115"/>
      <c r="S94" s="115"/>
      <c r="AG94" s="99"/>
      <c r="AH94" s="99" t="s">
        <v>4066</v>
      </c>
      <c r="AI94" s="95">
        <f>AI89+AM89</f>
        <v>206770239.92903227</v>
      </c>
      <c r="AJ94" s="99"/>
      <c r="AK94" s="99"/>
      <c r="AL94" s="99"/>
      <c r="AM94" s="99"/>
    </row>
    <row r="95" spans="11:51">
      <c r="K95" s="47">
        <v>500000</v>
      </c>
      <c r="L95" s="48" t="s">
        <v>479</v>
      </c>
      <c r="Q95" s="115"/>
      <c r="R95" s="115"/>
      <c r="S95" s="115"/>
      <c r="T95" s="115"/>
      <c r="U95" s="115"/>
      <c r="AH95" t="s">
        <v>4069</v>
      </c>
      <c r="AI95" s="114">
        <f>SUM(N40:N46)-N42+N38</f>
        <v>218419957.79999998</v>
      </c>
    </row>
    <row r="96" spans="11:51">
      <c r="K96" s="47">
        <v>180000</v>
      </c>
      <c r="L96" s="48" t="s">
        <v>558</v>
      </c>
      <c r="Q96" s="115"/>
      <c r="R96" s="115"/>
      <c r="S96" s="115"/>
      <c r="T96" s="115"/>
      <c r="U96" s="115"/>
      <c r="AH96" t="s">
        <v>4143</v>
      </c>
      <c r="AI96" s="114">
        <f>AI95-AI89</f>
        <v>24685552.799999982</v>
      </c>
    </row>
    <row r="97" spans="8:39">
      <c r="K97" s="47">
        <v>0</v>
      </c>
      <c r="L97" s="48" t="s">
        <v>784</v>
      </c>
      <c r="Q97" s="55"/>
      <c r="R97" s="186"/>
      <c r="S97" s="115"/>
      <c r="T97" s="115"/>
      <c r="U97" s="115"/>
      <c r="AH97" t="s">
        <v>944</v>
      </c>
      <c r="AI97" s="114">
        <f>AM89</f>
        <v>13035834.929032259</v>
      </c>
    </row>
    <row r="98" spans="8:39">
      <c r="H98" s="96"/>
      <c r="K98" s="47">
        <v>0</v>
      </c>
      <c r="L98" s="48" t="s">
        <v>785</v>
      </c>
      <c r="Q98" s="55"/>
      <c r="R98" s="186"/>
      <c r="S98" s="115"/>
      <c r="T98" s="115"/>
      <c r="U98" s="115"/>
      <c r="AH98" t="s">
        <v>4070</v>
      </c>
      <c r="AI98" s="114">
        <f>AI95-AI94</f>
        <v>11649717.870967716</v>
      </c>
    </row>
    <row r="99" spans="8:39">
      <c r="K99" s="47">
        <v>500000</v>
      </c>
      <c r="L99" s="48" t="s">
        <v>786</v>
      </c>
      <c r="Q99" s="26"/>
      <c r="R99" s="186"/>
      <c r="S99" s="115"/>
    </row>
    <row r="100" spans="8:39">
      <c r="K100" s="47">
        <v>75000</v>
      </c>
      <c r="L100" s="48" t="s">
        <v>787</v>
      </c>
      <c r="Q100" s="55"/>
      <c r="R100" s="186"/>
      <c r="S100" s="122"/>
      <c r="AI100" t="s">
        <v>25</v>
      </c>
    </row>
    <row r="101" spans="8:39">
      <c r="K101" s="47">
        <v>0</v>
      </c>
      <c r="L101" s="48" t="s">
        <v>789</v>
      </c>
      <c r="Q101" s="55"/>
      <c r="R101" s="186"/>
      <c r="S101" s="115"/>
    </row>
    <row r="102" spans="8:39">
      <c r="K102" s="47">
        <v>500000</v>
      </c>
      <c r="L102" s="48" t="s">
        <v>564</v>
      </c>
      <c r="Q102" s="122"/>
      <c r="R102" s="115"/>
      <c r="S102" s="115"/>
    </row>
    <row r="103" spans="8:39">
      <c r="K103" s="47">
        <v>50000</v>
      </c>
      <c r="L103" s="48" t="s">
        <v>792</v>
      </c>
    </row>
    <row r="104" spans="8:39">
      <c r="K104" s="47">
        <v>140000</v>
      </c>
      <c r="L104" s="48" t="s">
        <v>314</v>
      </c>
    </row>
    <row r="105" spans="8:39">
      <c r="K105" s="47"/>
      <c r="L105" s="48" t="s">
        <v>25</v>
      </c>
      <c r="Q105" s="22"/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4322</v>
      </c>
    </row>
    <row r="106" spans="8:39">
      <c r="K106" s="47">
        <f>SUM(K94:K105)</f>
        <v>2645000</v>
      </c>
      <c r="L106" s="48" t="s">
        <v>6</v>
      </c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4348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121</v>
      </c>
      <c r="AL107" s="99">
        <f t="shared" ref="AL107:AL129" si="16">AI107*AK107</f>
        <v>208221277</v>
      </c>
      <c r="AM107" s="99" t="s">
        <v>4349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70</v>
      </c>
      <c r="AL108" s="99">
        <f t="shared" si="16"/>
        <v>10500000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67</v>
      </c>
      <c r="AL109" s="99">
        <f t="shared" si="16"/>
        <v>-6365000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59</v>
      </c>
      <c r="AL110" s="99">
        <f t="shared" si="16"/>
        <v>185850000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43</v>
      </c>
      <c r="AL111" s="99">
        <f t="shared" si="16"/>
        <v>-2795000</v>
      </c>
      <c r="AM111" s="99"/>
    </row>
    <row r="112" spans="8:39">
      <c r="AG112" s="99">
        <v>7</v>
      </c>
      <c r="AH112" s="99" t="s">
        <v>4350</v>
      </c>
      <c r="AI112" s="117">
        <v>-95000</v>
      </c>
      <c r="AJ112" s="99">
        <v>6</v>
      </c>
      <c r="AK112" s="99">
        <f t="shared" si="15"/>
        <v>42</v>
      </c>
      <c r="AL112" s="99">
        <f t="shared" si="16"/>
        <v>-3990000</v>
      </c>
      <c r="AM112" s="99"/>
    </row>
    <row r="113" spans="33:42">
      <c r="AG113" s="99">
        <v>8</v>
      </c>
      <c r="AH113" s="99" t="s">
        <v>4351</v>
      </c>
      <c r="AI113" s="117">
        <v>232000</v>
      </c>
      <c r="AJ113" s="99">
        <v>7</v>
      </c>
      <c r="AK113" s="99">
        <f t="shared" si="15"/>
        <v>36</v>
      </c>
      <c r="AL113" s="99">
        <f t="shared" si="16"/>
        <v>8352000</v>
      </c>
      <c r="AM113" s="99"/>
    </row>
    <row r="114" spans="33:42">
      <c r="AG114" s="99">
        <v>9</v>
      </c>
      <c r="AH114" s="99" t="s">
        <v>4320</v>
      </c>
      <c r="AI114" s="117">
        <v>13000000</v>
      </c>
      <c r="AJ114" s="99">
        <v>2</v>
      </c>
      <c r="AK114" s="99">
        <f t="shared" si="15"/>
        <v>29</v>
      </c>
      <c r="AL114" s="99">
        <f t="shared" si="16"/>
        <v>377000000</v>
      </c>
      <c r="AM114" s="99"/>
    </row>
    <row r="115" spans="33:42">
      <c r="AG115" s="99">
        <v>10</v>
      </c>
      <c r="AH115" s="99" t="s">
        <v>4352</v>
      </c>
      <c r="AI115" s="117">
        <v>10000000</v>
      </c>
      <c r="AJ115" s="99">
        <v>3</v>
      </c>
      <c r="AK115" s="99">
        <f t="shared" si="15"/>
        <v>27</v>
      </c>
      <c r="AL115" s="99">
        <f t="shared" si="16"/>
        <v>270000000</v>
      </c>
      <c r="AM115" s="99"/>
    </row>
    <row r="116" spans="33:42">
      <c r="AG116" s="99">
        <v>11</v>
      </c>
      <c r="AH116" s="99" t="s">
        <v>4335</v>
      </c>
      <c r="AI116" s="117">
        <v>3400000</v>
      </c>
      <c r="AJ116" s="99">
        <v>9</v>
      </c>
      <c r="AK116" s="99">
        <f t="shared" si="15"/>
        <v>24</v>
      </c>
      <c r="AL116" s="99">
        <f t="shared" si="16"/>
        <v>81600000</v>
      </c>
      <c r="AM116" s="99"/>
    </row>
    <row r="117" spans="33:42">
      <c r="AG117" s="99">
        <v>12</v>
      </c>
      <c r="AH117" s="99" t="s">
        <v>4386</v>
      </c>
      <c r="AI117" s="117">
        <v>-8736514</v>
      </c>
      <c r="AJ117" s="99">
        <v>1</v>
      </c>
      <c r="AK117" s="99">
        <f>AJ117+AK118</f>
        <v>15</v>
      </c>
      <c r="AL117" s="99">
        <f t="shared" si="16"/>
        <v>-131047710</v>
      </c>
      <c r="AM117" s="99"/>
    </row>
    <row r="118" spans="33:42">
      <c r="AG118" s="99">
        <v>13</v>
      </c>
      <c r="AH118" s="99" t="s">
        <v>4387</v>
      </c>
      <c r="AI118" s="117">
        <v>555000</v>
      </c>
      <c r="AJ118" s="99">
        <v>5</v>
      </c>
      <c r="AK118" s="99">
        <f t="shared" ref="AK118:AK128" si="17">AJ118+AK119</f>
        <v>14</v>
      </c>
      <c r="AL118" s="99">
        <f t="shared" si="16"/>
        <v>7770000</v>
      </c>
      <c r="AM118" s="99"/>
    </row>
    <row r="119" spans="33:42">
      <c r="AG119" s="99">
        <v>14</v>
      </c>
      <c r="AH119" s="99" t="s">
        <v>4415</v>
      </c>
      <c r="AI119" s="117">
        <v>-448308</v>
      </c>
      <c r="AJ119" s="99">
        <v>6</v>
      </c>
      <c r="AK119" s="99">
        <f t="shared" si="17"/>
        <v>9</v>
      </c>
      <c r="AL119" s="99">
        <f t="shared" si="16"/>
        <v>-4034772</v>
      </c>
      <c r="AM119" s="99"/>
      <c r="AP119" t="s">
        <v>25</v>
      </c>
    </row>
    <row r="120" spans="33:42">
      <c r="AG120" s="99">
        <v>15</v>
      </c>
      <c r="AH120" s="99" t="s">
        <v>4451</v>
      </c>
      <c r="AI120" s="117">
        <v>33225</v>
      </c>
      <c r="AJ120" s="99">
        <v>0</v>
      </c>
      <c r="AK120" s="99">
        <f t="shared" si="17"/>
        <v>3</v>
      </c>
      <c r="AL120" s="99">
        <f t="shared" si="16"/>
        <v>99675</v>
      </c>
      <c r="AM120" s="99"/>
      <c r="AN120" t="s">
        <v>25</v>
      </c>
    </row>
    <row r="121" spans="33:42">
      <c r="AG121" s="149">
        <v>16</v>
      </c>
      <c r="AH121" s="149" t="s">
        <v>4451</v>
      </c>
      <c r="AI121" s="195">
        <v>4098523</v>
      </c>
      <c r="AJ121" s="149">
        <v>2</v>
      </c>
      <c r="AK121" s="149">
        <f t="shared" si="17"/>
        <v>3</v>
      </c>
      <c r="AL121" s="149">
        <f t="shared" si="16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4480</v>
      </c>
      <c r="AI122" s="195">
        <v>-1000000</v>
      </c>
      <c r="AJ122" s="149">
        <v>1</v>
      </c>
      <c r="AK122" s="149">
        <f t="shared" si="17"/>
        <v>1</v>
      </c>
      <c r="AL122" s="149">
        <f t="shared" si="16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SUM(N19:N24)+N33</f>
        <v>27200045.000000004</v>
      </c>
    </row>
    <row r="136" spans="33:39">
      <c r="AH136" t="s">
        <v>4143</v>
      </c>
      <c r="AI136" s="114">
        <f>AI135-AI131</f>
        <v>-2255537.9999999963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-3190906.9670967706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3 S58 AC32 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4515</v>
      </c>
      <c r="I1" s="74" t="s">
        <v>4330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2018-11-22T12:35:51Z</dcterms:modified>
</cp:coreProperties>
</file>