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P22" i="18" l="1"/>
  <c r="P33" i="18"/>
  <c r="N52" i="18"/>
  <c r="AJ218" i="18"/>
  <c r="AJ151" i="18"/>
  <c r="D84" i="52"/>
  <c r="P80" i="52" l="1"/>
  <c r="P82" i="52"/>
  <c r="P70" i="52"/>
  <c r="AL147" i="18" l="1"/>
  <c r="AM147" i="18" s="1"/>
  <c r="AL148" i="18"/>
  <c r="AM148" i="18" s="1"/>
  <c r="AL149" i="18"/>
  <c r="AM149" i="18" s="1"/>
  <c r="P158" i="18"/>
  <c r="W221" i="18"/>
  <c r="AL145" i="18" l="1"/>
  <c r="AM145" i="18" s="1"/>
  <c r="J91" i="52"/>
  <c r="D340" i="20" l="1"/>
  <c r="P37" i="18"/>
  <c r="N37" i="18" s="1"/>
  <c r="N66" i="18"/>
  <c r="P28" i="18"/>
  <c r="N28" i="18" s="1"/>
  <c r="P24" i="18"/>
  <c r="N54" i="18"/>
  <c r="U225" i="18"/>
  <c r="W220" i="18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G368" i="20"/>
  <c r="I368" i="20" s="1"/>
  <c r="H368" i="20"/>
  <c r="G369" i="20"/>
  <c r="H369" i="20"/>
  <c r="K369" i="20" s="1"/>
  <c r="I369" i="20"/>
  <c r="J369" i="20"/>
  <c r="D339" i="20"/>
  <c r="K368" i="20" l="1"/>
  <c r="J368" i="20"/>
  <c r="G367" i="20"/>
  <c r="O85" i="18"/>
  <c r="O84" i="18"/>
  <c r="O83" i="18"/>
  <c r="B371" i="20"/>
  <c r="D332" i="20"/>
  <c r="D333" i="20"/>
  <c r="D334" i="20"/>
  <c r="D335" i="20"/>
  <c r="D336" i="20"/>
  <c r="D337" i="20"/>
  <c r="D338" i="20"/>
  <c r="D369" i="20"/>
  <c r="I367" i="20" l="1"/>
  <c r="G366" i="20"/>
  <c r="J367" i="20"/>
  <c r="K367" i="20"/>
  <c r="P35" i="18"/>
  <c r="N35" i="18" s="1"/>
  <c r="P25" i="18"/>
  <c r="N25" i="18" s="1"/>
  <c r="N55" i="18"/>
  <c r="G365" i="20" l="1"/>
  <c r="J366" i="20"/>
  <c r="K366" i="20"/>
  <c r="I366" i="20"/>
  <c r="K365" i="20" l="1"/>
  <c r="I365" i="20"/>
  <c r="G364" i="20"/>
  <c r="J365" i="20"/>
  <c r="W219" i="18"/>
  <c r="D74" i="57"/>
  <c r="G363" i="20" l="1"/>
  <c r="I364" i="20"/>
  <c r="J364" i="20"/>
  <c r="K364" i="20"/>
  <c r="AD46" i="52"/>
  <c r="AE46" i="52"/>
  <c r="G46" i="10"/>
  <c r="I363" i="20" l="1"/>
  <c r="G362" i="20"/>
  <c r="J363" i="20"/>
  <c r="K363" i="20"/>
  <c r="D331" i="20"/>
  <c r="G361" i="20" l="1"/>
  <c r="J362" i="20"/>
  <c r="K362" i="20"/>
  <c r="I362" i="20"/>
  <c r="D330" i="20"/>
  <c r="K361" i="20" l="1"/>
  <c r="I361" i="20"/>
  <c r="G360" i="20"/>
  <c r="J361" i="20"/>
  <c r="I360" i="20" l="1"/>
  <c r="G359" i="20"/>
  <c r="J360" i="20"/>
  <c r="K360" i="20"/>
  <c r="W218" i="18"/>
  <c r="W217" i="18"/>
  <c r="I359" i="20" l="1"/>
  <c r="G358" i="20"/>
  <c r="J359" i="20"/>
  <c r="K359" i="20"/>
  <c r="D329" i="20"/>
  <c r="G357" i="20" l="1"/>
  <c r="J358" i="20"/>
  <c r="K358" i="20"/>
  <c r="I358" i="20"/>
  <c r="M41" i="52"/>
  <c r="AD45" i="52"/>
  <c r="AC54" i="52" s="1"/>
  <c r="AE45" i="52"/>
  <c r="AD44" i="52"/>
  <c r="AE44" i="52"/>
  <c r="K357" i="20" l="1"/>
  <c r="I357" i="20"/>
  <c r="G356" i="20"/>
  <c r="J357" i="20"/>
  <c r="Z41" i="52"/>
  <c r="AD41" i="52"/>
  <c r="AE41" i="52"/>
  <c r="I356" i="20" l="1"/>
  <c r="G355" i="20"/>
  <c r="J356" i="20"/>
  <c r="K356" i="20"/>
  <c r="D328" i="20"/>
  <c r="D327" i="20"/>
  <c r="I355" i="20" l="1"/>
  <c r="G354" i="20"/>
  <c r="J355" i="20"/>
  <c r="K355" i="20"/>
  <c r="AD43" i="52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4" i="52" l="1"/>
  <c r="G353" i="20"/>
  <c r="J354" i="20"/>
  <c r="K354" i="20"/>
  <c r="I354" i="20"/>
  <c r="P81" i="52"/>
  <c r="P79" i="52"/>
  <c r="P90" i="52"/>
  <c r="P86" i="52"/>
  <c r="P78" i="52"/>
  <c r="P77" i="52"/>
  <c r="P76" i="52"/>
  <c r="P75" i="52"/>
  <c r="P87" i="52"/>
  <c r="P83" i="52"/>
  <c r="K353" i="20" l="1"/>
  <c r="I353" i="20"/>
  <c r="G352" i="20"/>
  <c r="J353" i="20"/>
  <c r="Z42" i="52"/>
  <c r="AD42" i="52"/>
  <c r="AE42" i="52"/>
  <c r="N62" i="18"/>
  <c r="M122" i="18" s="1"/>
  <c r="D326" i="20"/>
  <c r="D325" i="20"/>
  <c r="I352" i="20" l="1"/>
  <c r="G351" i="20"/>
  <c r="J352" i="20"/>
  <c r="K352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I351" i="20" l="1"/>
  <c r="G350" i="20"/>
  <c r="J351" i="20"/>
  <c r="K351" i="20"/>
  <c r="D320" i="20"/>
  <c r="D319" i="20"/>
  <c r="G349" i="20" l="1"/>
  <c r="J350" i="20"/>
  <c r="K350" i="20"/>
  <c r="I350" i="20"/>
  <c r="D318" i="20"/>
  <c r="D317" i="20"/>
  <c r="K349" i="20" l="1"/>
  <c r="I349" i="20"/>
  <c r="G348" i="20"/>
  <c r="J349" i="20"/>
  <c r="W216" i="18"/>
  <c r="W215" i="18"/>
  <c r="G136" i="18"/>
  <c r="J136" i="18" s="1"/>
  <c r="G135" i="18"/>
  <c r="J135" i="18" s="1"/>
  <c r="G134" i="18"/>
  <c r="J134" i="18" s="1"/>
  <c r="G133" i="18"/>
  <c r="J133" i="18" s="1"/>
  <c r="I348" i="20" l="1"/>
  <c r="G347" i="20"/>
  <c r="J348" i="20"/>
  <c r="K348" i="20"/>
  <c r="J137" i="18"/>
  <c r="Z40" i="52"/>
  <c r="Z39" i="52"/>
  <c r="Z38" i="52"/>
  <c r="AD38" i="52"/>
  <c r="AD39" i="52"/>
  <c r="AD40" i="52"/>
  <c r="AE40" i="52"/>
  <c r="AE39" i="52"/>
  <c r="AE38" i="52"/>
  <c r="I347" i="20" l="1"/>
  <c r="G346" i="20"/>
  <c r="J347" i="20"/>
  <c r="K347" i="20"/>
  <c r="R177" i="18"/>
  <c r="R199" i="18"/>
  <c r="O69" i="52"/>
  <c r="O70" i="52"/>
  <c r="O71" i="52"/>
  <c r="O72" i="52"/>
  <c r="O73" i="52"/>
  <c r="O91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G345" i="20" l="1"/>
  <c r="J346" i="20"/>
  <c r="K346" i="20"/>
  <c r="I346" i="20"/>
  <c r="P71" i="52"/>
  <c r="P69" i="52"/>
  <c r="P73" i="52"/>
  <c r="P91" i="52"/>
  <c r="P72" i="52"/>
  <c r="W214" i="18"/>
  <c r="W213" i="18"/>
  <c r="M48" i="52"/>
  <c r="L43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K345" i="20" l="1"/>
  <c r="I345" i="20"/>
  <c r="G344" i="20"/>
  <c r="J345" i="20"/>
  <c r="C30" i="56"/>
  <c r="B30" i="56"/>
  <c r="I344" i="20" l="1"/>
  <c r="G343" i="20"/>
  <c r="J344" i="20"/>
  <c r="K344" i="20"/>
  <c r="R227" i="18"/>
  <c r="R257" i="18"/>
  <c r="W212" i="18"/>
  <c r="W211" i="18"/>
  <c r="N34" i="52"/>
  <c r="N33" i="52"/>
  <c r="P42" i="52"/>
  <c r="I343" i="20" l="1"/>
  <c r="G342" i="20"/>
  <c r="J343" i="20"/>
  <c r="K343" i="20"/>
  <c r="AR16" i="18"/>
  <c r="G341" i="20" l="1"/>
  <c r="J342" i="20"/>
  <c r="K342" i="20"/>
  <c r="I342" i="20"/>
  <c r="D316" i="20"/>
  <c r="K341" i="20" l="1"/>
  <c r="I341" i="20"/>
  <c r="G340" i="20"/>
  <c r="J341" i="20"/>
  <c r="C2" i="57"/>
  <c r="C32" i="57" s="1"/>
  <c r="B2" i="57"/>
  <c r="L23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I340" i="20" l="1"/>
  <c r="G339" i="20"/>
  <c r="J340" i="20"/>
  <c r="K340" i="20"/>
  <c r="D2" i="57"/>
  <c r="B32" i="57"/>
  <c r="H33" i="57"/>
  <c r="G33" i="57"/>
  <c r="D315" i="20"/>
  <c r="D314" i="20"/>
  <c r="I339" i="20" l="1"/>
  <c r="G338" i="20"/>
  <c r="J339" i="20"/>
  <c r="K339" i="20"/>
  <c r="H38" i="57"/>
  <c r="I2" i="57"/>
  <c r="I33" i="57" s="1"/>
  <c r="I38" i="57" s="1"/>
  <c r="D32" i="57"/>
  <c r="Z26" i="52"/>
  <c r="AD32" i="52"/>
  <c r="Z32" i="52"/>
  <c r="AE32" i="52"/>
  <c r="G337" i="20" l="1"/>
  <c r="J338" i="20"/>
  <c r="K338" i="20"/>
  <c r="I338" i="20"/>
  <c r="W210" i="18"/>
  <c r="W20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7" i="18"/>
  <c r="N27" i="18" s="1"/>
  <c r="P23" i="18"/>
  <c r="N23" i="18" s="1"/>
  <c r="P34" i="18"/>
  <c r="N34" i="18" s="1"/>
  <c r="AM217" i="18" l="1"/>
  <c r="AL216" i="18"/>
  <c r="K337" i="20"/>
  <c r="I337" i="20"/>
  <c r="J337" i="20"/>
  <c r="W208" i="18"/>
  <c r="W207" i="18"/>
  <c r="N30" i="52"/>
  <c r="N29" i="52"/>
  <c r="AD27" i="52"/>
  <c r="Z27" i="52"/>
  <c r="AE27" i="52"/>
  <c r="AL215" i="18" l="1"/>
  <c r="AM216" i="18"/>
  <c r="W206" i="18"/>
  <c r="W205" i="18"/>
  <c r="L47" i="52"/>
  <c r="N28" i="52"/>
  <c r="N27" i="52"/>
  <c r="AL214" i="18" l="1"/>
  <c r="AM215" i="18"/>
  <c r="AD26" i="52"/>
  <c r="AE26" i="52"/>
  <c r="N45" i="18"/>
  <c r="AM214" i="18" l="1"/>
  <c r="AL213" i="18"/>
  <c r="D313" i="20"/>
  <c r="AL212" i="18" l="1"/>
  <c r="AM213" i="18"/>
  <c r="L126" i="18"/>
  <c r="AM212" i="18" l="1"/>
  <c r="AL211" i="18"/>
  <c r="L121" i="18"/>
  <c r="L122" i="18"/>
  <c r="N122" i="18" s="1"/>
  <c r="M126" i="18"/>
  <c r="L115" i="18"/>
  <c r="W204" i="18"/>
  <c r="W203" i="18"/>
  <c r="N24" i="52"/>
  <c r="N26" i="52"/>
  <c r="N25" i="52"/>
  <c r="AL210" i="18" l="1"/>
  <c r="AM211" i="18"/>
  <c r="T241" i="18"/>
  <c r="N76" i="18"/>
  <c r="K125" i="18"/>
  <c r="L117" i="18"/>
  <c r="Z25" i="52"/>
  <c r="AD25" i="52"/>
  <c r="AE25" i="52"/>
  <c r="D312" i="20"/>
  <c r="D311" i="20"/>
  <c r="D310" i="20"/>
  <c r="H370" i="20"/>
  <c r="G370" i="20"/>
  <c r="H319" i="20"/>
  <c r="H318" i="20"/>
  <c r="H317" i="20"/>
  <c r="H316" i="20"/>
  <c r="H315" i="20"/>
  <c r="H314" i="20"/>
  <c r="H313" i="20"/>
  <c r="H312" i="20"/>
  <c r="H311" i="20"/>
  <c r="H310" i="20"/>
  <c r="H309" i="20"/>
  <c r="AM210" i="18" l="1"/>
  <c r="AL209" i="18"/>
  <c r="I370" i="20"/>
  <c r="J370" i="20"/>
  <c r="W202" i="18"/>
  <c r="W201" i="18"/>
  <c r="N23" i="52"/>
  <c r="N22" i="52"/>
  <c r="Z24" i="52"/>
  <c r="AD24" i="52"/>
  <c r="AE24" i="52"/>
  <c r="AL208" i="18" l="1"/>
  <c r="AM209" i="18"/>
  <c r="W200" i="18"/>
  <c r="W199" i="18"/>
  <c r="N21" i="52"/>
  <c r="N20" i="52"/>
  <c r="AL207" i="18" l="1"/>
  <c r="AM208" i="18"/>
  <c r="G336" i="20"/>
  <c r="D309" i="20"/>
  <c r="AL206" i="18" l="1"/>
  <c r="AM207" i="18"/>
  <c r="G335" i="20"/>
  <c r="K336" i="20"/>
  <c r="J336" i="20"/>
  <c r="I336" i="20"/>
  <c r="D308" i="20"/>
  <c r="AL205" i="18" l="1"/>
  <c r="AM206" i="18"/>
  <c r="I335" i="20"/>
  <c r="J335" i="20"/>
  <c r="K335" i="20"/>
  <c r="G334" i="20"/>
  <c r="N51" i="18"/>
  <c r="AL150" i="18"/>
  <c r="D307" i="20"/>
  <c r="AL204" i="18" l="1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I334" i="20"/>
  <c r="J334" i="20"/>
  <c r="G333" i="20"/>
  <c r="K334" i="20"/>
  <c r="M117" i="18"/>
  <c r="AM150" i="18"/>
  <c r="AD23" i="52"/>
  <c r="Z23" i="52"/>
  <c r="AE23" i="52"/>
  <c r="Z22" i="52"/>
  <c r="AD22" i="52"/>
  <c r="AE22" i="52"/>
  <c r="N63" i="18"/>
  <c r="AM143" i="18" l="1"/>
  <c r="AM140" i="18"/>
  <c r="AM141" i="18"/>
  <c r="AM138" i="18"/>
  <c r="AM137" i="18"/>
  <c r="AM139" i="18"/>
  <c r="AM142" i="18"/>
  <c r="AM144" i="18"/>
  <c r="AL203" i="18"/>
  <c r="AM204" i="18"/>
  <c r="I333" i="20"/>
  <c r="G332" i="20"/>
  <c r="J333" i="20"/>
  <c r="K333" i="20"/>
  <c r="W198" i="18"/>
  <c r="W197" i="18"/>
  <c r="AL202" i="18" l="1"/>
  <c r="AM203" i="18"/>
  <c r="G331" i="20"/>
  <c r="J332" i="20"/>
  <c r="K332" i="20"/>
  <c r="I332" i="20"/>
  <c r="AD21" i="52"/>
  <c r="AC21" i="52"/>
  <c r="AE21" i="52"/>
  <c r="AD20" i="52"/>
  <c r="AC20" i="52"/>
  <c r="AE20" i="52"/>
  <c r="AL201" i="18" l="1"/>
  <c r="AM202" i="18"/>
  <c r="I331" i="20"/>
  <c r="J331" i="20"/>
  <c r="K331" i="20"/>
  <c r="G330" i="20"/>
  <c r="G120" i="18"/>
  <c r="F120" i="18" s="1"/>
  <c r="G119" i="18"/>
  <c r="F119" i="18" s="1"/>
  <c r="G118" i="18"/>
  <c r="F118" i="18" s="1"/>
  <c r="G117" i="18"/>
  <c r="F117" i="18" s="1"/>
  <c r="G116" i="18"/>
  <c r="F116" i="18" s="1"/>
  <c r="G115" i="18"/>
  <c r="F115" i="18" s="1"/>
  <c r="P36" i="18"/>
  <c r="N36" i="18" s="1"/>
  <c r="P26" i="18"/>
  <c r="N26" i="18" s="1"/>
  <c r="AL200" i="18" l="1"/>
  <c r="AM201" i="18"/>
  <c r="I330" i="20"/>
  <c r="J330" i="20"/>
  <c r="K330" i="20"/>
  <c r="G329" i="20"/>
  <c r="D306" i="20"/>
  <c r="AL199" i="18" l="1"/>
  <c r="AM200" i="18"/>
  <c r="G328" i="20"/>
  <c r="J329" i="20"/>
  <c r="K329" i="20"/>
  <c r="I329" i="20"/>
  <c r="D305" i="20"/>
  <c r="AL198" i="18" l="1"/>
  <c r="AM199" i="18"/>
  <c r="I328" i="20"/>
  <c r="G327" i="20"/>
  <c r="K328" i="20"/>
  <c r="J328" i="20"/>
  <c r="AD19" i="52"/>
  <c r="AD18" i="52"/>
  <c r="Z19" i="52"/>
  <c r="Z18" i="52"/>
  <c r="AE19" i="52"/>
  <c r="AE18" i="52"/>
  <c r="AM198" i="18" l="1"/>
  <c r="AL197" i="18"/>
  <c r="I327" i="20"/>
  <c r="G326" i="20"/>
  <c r="J327" i="20"/>
  <c r="K327" i="20"/>
  <c r="D304" i="20"/>
  <c r="W196" i="18"/>
  <c r="W195" i="18"/>
  <c r="AD17" i="52"/>
  <c r="Z17" i="52"/>
  <c r="AE17" i="52"/>
  <c r="AD16" i="52"/>
  <c r="Z16" i="52"/>
  <c r="AE16" i="52"/>
  <c r="N17" i="52"/>
  <c r="N16" i="52"/>
  <c r="J326" i="20" l="1"/>
  <c r="K326" i="20"/>
  <c r="I326" i="20"/>
  <c r="G325" i="20"/>
  <c r="L116" i="18"/>
  <c r="L118" i="18"/>
  <c r="L119" i="18"/>
  <c r="L120" i="18"/>
  <c r="L123" i="18"/>
  <c r="I325" i="20" l="1"/>
  <c r="J325" i="20"/>
  <c r="K325" i="20"/>
  <c r="G324" i="20"/>
  <c r="W194" i="18"/>
  <c r="W193" i="18"/>
  <c r="D303" i="20"/>
  <c r="D302" i="20"/>
  <c r="W192" i="18"/>
  <c r="K324" i="20" l="1"/>
  <c r="I324" i="20"/>
  <c r="G323" i="20"/>
  <c r="J324" i="20"/>
  <c r="D301" i="20"/>
  <c r="D300" i="20"/>
  <c r="D299" i="20"/>
  <c r="I323" i="20" l="1"/>
  <c r="K323" i="20"/>
  <c r="G322" i="20"/>
  <c r="J323" i="20"/>
  <c r="Z15" i="52"/>
  <c r="AD15" i="52"/>
  <c r="AE15" i="52"/>
  <c r="P38" i="18"/>
  <c r="P32" i="18"/>
  <c r="P29" i="18"/>
  <c r="P21" i="18"/>
  <c r="D298" i="20"/>
  <c r="I322" i="20" l="1"/>
  <c r="J322" i="20"/>
  <c r="K322" i="20"/>
  <c r="G321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20" i="20" l="1"/>
  <c r="J321" i="20"/>
  <c r="K321" i="20"/>
  <c r="I321" i="20"/>
  <c r="W190" i="18"/>
  <c r="N61" i="18"/>
  <c r="M121" i="18" s="1"/>
  <c r="N121" i="18" s="1"/>
  <c r="N59" i="18"/>
  <c r="M120" i="18" s="1"/>
  <c r="I320" i="20" l="1"/>
  <c r="J320" i="20"/>
  <c r="K320" i="20"/>
  <c r="G319" i="20"/>
  <c r="N120" i="18"/>
  <c r="AD14" i="52"/>
  <c r="AE14" i="52"/>
  <c r="AD13" i="52"/>
  <c r="AE13" i="52"/>
  <c r="Z14" i="52"/>
  <c r="D296" i="20"/>
  <c r="D295" i="20"/>
  <c r="I319" i="20" l="1"/>
  <c r="G318" i="20"/>
  <c r="K319" i="20"/>
  <c r="J319" i="20"/>
  <c r="W189" i="18"/>
  <c r="W188" i="18"/>
  <c r="L11" i="52"/>
  <c r="L10" i="52"/>
  <c r="AL196" i="18"/>
  <c r="AL195" i="18" s="1"/>
  <c r="AL194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J318" i="20" l="1"/>
  <c r="K318" i="20"/>
  <c r="G317" i="20"/>
  <c r="I318" i="20"/>
  <c r="H2" i="55"/>
  <c r="H33" i="55" s="1"/>
  <c r="AM197" i="18"/>
  <c r="AM196" i="18"/>
  <c r="AM195" i="18"/>
  <c r="G2" i="55"/>
  <c r="G33" i="55" s="1"/>
  <c r="D2" i="55"/>
  <c r="W187" i="18"/>
  <c r="W186" i="18"/>
  <c r="K317" i="20" l="1"/>
  <c r="J317" i="20"/>
  <c r="G316" i="20"/>
  <c r="I317" i="20"/>
  <c r="H38" i="55"/>
  <c r="I2" i="55"/>
  <c r="I33" i="55" s="1"/>
  <c r="I38" i="55" s="1"/>
  <c r="D32" i="55"/>
  <c r="D293" i="20"/>
  <c r="J316" i="20" l="1"/>
  <c r="G315" i="20"/>
  <c r="I316" i="20"/>
  <c r="K316" i="20"/>
  <c r="W185" i="18"/>
  <c r="N60" i="18"/>
  <c r="M119" i="18" s="1"/>
  <c r="N64" i="18"/>
  <c r="I315" i="20" l="1"/>
  <c r="K315" i="20"/>
  <c r="J315" i="20"/>
  <c r="G314" i="20"/>
  <c r="N119" i="18"/>
  <c r="D292" i="20"/>
  <c r="C8" i="36"/>
  <c r="W184" i="18"/>
  <c r="N5" i="52"/>
  <c r="J314" i="20" l="1"/>
  <c r="G313" i="20"/>
  <c r="I314" i="20"/>
  <c r="K314" i="20"/>
  <c r="N56" i="18"/>
  <c r="D291" i="20"/>
  <c r="K313" i="20" l="1"/>
  <c r="J313" i="20"/>
  <c r="G312" i="20"/>
  <c r="I313" i="20"/>
  <c r="D290" i="20"/>
  <c r="K312" i="20" l="1"/>
  <c r="J312" i="20"/>
  <c r="G311" i="20"/>
  <c r="I312" i="20"/>
  <c r="D289" i="20"/>
  <c r="I311" i="20" l="1"/>
  <c r="K311" i="20"/>
  <c r="J311" i="20"/>
  <c r="G310" i="20"/>
  <c r="N32" i="18"/>
  <c r="AL193" i="18"/>
  <c r="AL192" i="18" s="1"/>
  <c r="D288" i="20"/>
  <c r="J310" i="20" l="1"/>
  <c r="I310" i="20"/>
  <c r="K310" i="20"/>
  <c r="G309" i="20"/>
  <c r="AM194" i="18"/>
  <c r="AM193" i="18"/>
  <c r="AD4" i="52"/>
  <c r="K309" i="20" l="1"/>
  <c r="G308" i="20"/>
  <c r="J309" i="20"/>
  <c r="I309" i="20"/>
  <c r="D287" i="20"/>
  <c r="D286" i="20"/>
  <c r="F15" i="52"/>
  <c r="AB3" i="49" l="1"/>
  <c r="AB4" i="49"/>
  <c r="AB5" i="49"/>
  <c r="D285" i="20" l="1"/>
  <c r="W183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92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54" i="18"/>
  <c r="D281" i="20" l="1"/>
  <c r="D280" i="20" l="1"/>
  <c r="AD5" i="52" l="1"/>
  <c r="B38" i="52"/>
  <c r="D279" i="20"/>
  <c r="W159" i="18" l="1"/>
  <c r="W182" i="18"/>
  <c r="D278" i="20"/>
  <c r="Y150" i="18" l="1"/>
  <c r="AA150" i="18" s="1"/>
  <c r="W161" i="18"/>
  <c r="Y152" i="18" s="1"/>
  <c r="AA152" i="18" s="1"/>
  <c r="W160" i="18"/>
  <c r="Y151" i="18" s="1"/>
  <c r="AA151" i="18" s="1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54" i="18"/>
  <c r="S153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53" i="18"/>
  <c r="M123" i="18" l="1"/>
  <c r="H270" i="20"/>
  <c r="H271" i="20"/>
  <c r="H272" i="20"/>
  <c r="D269" i="20"/>
  <c r="H269" i="20"/>
  <c r="AL135" i="18" l="1"/>
  <c r="S7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33" i="18"/>
  <c r="N134" i="18"/>
  <c r="N135" i="18"/>
  <c r="N136" i="18"/>
  <c r="N137" i="18"/>
  <c r="N138" i="18"/>
  <c r="N139" i="18"/>
  <c r="N140" i="18"/>
  <c r="N132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81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80" i="18"/>
  <c r="AM124" i="18" l="1"/>
  <c r="AL123" i="18"/>
  <c r="AM123" i="18" l="1"/>
  <c r="AL122" i="18"/>
  <c r="AL121" i="18" l="1"/>
  <c r="AM122" i="18"/>
  <c r="W174" i="18"/>
  <c r="W175" i="18"/>
  <c r="W176" i="18"/>
  <c r="W177" i="18"/>
  <c r="W178" i="18"/>
  <c r="W179" i="18"/>
  <c r="W191" i="18"/>
  <c r="W173" i="18"/>
  <c r="AM121" i="18" l="1"/>
  <c r="AL120" i="18"/>
  <c r="N67" i="18"/>
  <c r="AM120" i="18" l="1"/>
  <c r="AL119" i="18"/>
  <c r="AM119" i="18" l="1"/>
  <c r="AL118" i="18"/>
  <c r="T157" i="18"/>
  <c r="S57" i="18"/>
  <c r="S58" i="18" s="1"/>
  <c r="S59" i="18" s="1"/>
  <c r="R178" i="18"/>
  <c r="R176" i="18"/>
  <c r="D57" i="51"/>
  <c r="AL117" i="18" l="1"/>
  <c r="AM118" i="18"/>
  <c r="S60" i="18"/>
  <c r="S61" i="18" s="1"/>
  <c r="AM117" i="18" l="1"/>
  <c r="AL116" i="18"/>
  <c r="S62" i="18"/>
  <c r="S63" i="18" s="1"/>
  <c r="S64" i="18" s="1"/>
  <c r="S65" i="18" s="1"/>
  <c r="S66" i="18" s="1"/>
  <c r="S67" i="18" s="1"/>
  <c r="S68" i="18" s="1"/>
  <c r="N38" i="18"/>
  <c r="R175" i="18" l="1"/>
  <c r="Q70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8" i="18"/>
  <c r="M118" i="18" s="1"/>
  <c r="N118" i="18" l="1"/>
  <c r="AM112" i="18"/>
  <c r="AL111" i="18"/>
  <c r="D108" i="50"/>
  <c r="AL110" i="18" l="1"/>
  <c r="AM111" i="18"/>
  <c r="N57" i="18"/>
  <c r="AL109" i="18" l="1"/>
  <c r="AM110" i="18"/>
  <c r="N117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3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2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AM101" i="18"/>
  <c r="AL100" i="18"/>
  <c r="AM188" i="18"/>
  <c r="AL187" i="18"/>
  <c r="D73" i="48"/>
  <c r="N29" i="18"/>
  <c r="M116" i="18" s="1"/>
  <c r="AL99" i="18" l="1"/>
  <c r="AM100" i="18"/>
  <c r="N116" i="18"/>
  <c r="AL186" i="18"/>
  <c r="AM187" i="18"/>
  <c r="AM99" i="18" l="1"/>
  <c r="AL98" i="18"/>
  <c r="AL185" i="18"/>
  <c r="AM186" i="18"/>
  <c r="P72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81" i="18"/>
  <c r="AM182" i="18"/>
  <c r="N21" i="18"/>
  <c r="Q52" i="18" s="1"/>
  <c r="AJ222" i="18" l="1"/>
  <c r="AJ223" i="18" s="1"/>
  <c r="R174" i="18"/>
  <c r="AM94" i="18"/>
  <c r="AL93" i="18"/>
  <c r="AL180" i="18"/>
  <c r="AM181" i="18"/>
  <c r="AL92" i="18" l="1"/>
  <c r="AM93" i="18"/>
  <c r="AL179" i="18"/>
  <c r="AM180" i="18"/>
  <c r="S80" i="18"/>
  <c r="S81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2" i="18"/>
  <c r="AL85" i="18" l="1"/>
  <c r="AM86" i="18"/>
  <c r="S83" i="18"/>
  <c r="S84" i="18" s="1"/>
  <c r="S85" i="18" s="1"/>
  <c r="S86" i="18" s="1"/>
  <c r="S87" i="18" s="1"/>
  <c r="S88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89" i="18"/>
  <c r="S90" i="18" s="1"/>
  <c r="S91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2" i="18" l="1"/>
  <c r="AJ224" i="18"/>
  <c r="AJ225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3" i="18" l="1"/>
  <c r="S94" i="18" s="1"/>
  <c r="AL77" i="18"/>
  <c r="AM78" i="18"/>
  <c r="N72" i="18"/>
  <c r="G307" i="20" l="1"/>
  <c r="K308" i="20"/>
  <c r="J308" i="20"/>
  <c r="I308" i="20"/>
  <c r="S95" i="18"/>
  <c r="S96" i="18" s="1"/>
  <c r="S97" i="18" s="1"/>
  <c r="S98" i="18" s="1"/>
  <c r="S99" i="18" s="1"/>
  <c r="AL76" i="18"/>
  <c r="AM77" i="18"/>
  <c r="G306" i="20" l="1"/>
  <c r="J307" i="20"/>
  <c r="I307" i="20"/>
  <c r="K307" i="20"/>
  <c r="S100" i="18"/>
  <c r="S101" i="18" s="1"/>
  <c r="AL75" i="18"/>
  <c r="AM76" i="18"/>
  <c r="N65" i="18"/>
  <c r="AJ157" i="18" l="1"/>
  <c r="AJ158" i="18" s="1"/>
  <c r="Q149" i="18"/>
  <c r="R173" i="18"/>
  <c r="R183" i="18" s="1"/>
  <c r="M115" i="18"/>
  <c r="N115" i="18" s="1"/>
  <c r="N126" i="18" s="1"/>
  <c r="S102" i="18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G305" i="20"/>
  <c r="I306" i="20"/>
  <c r="K306" i="20"/>
  <c r="J306" i="20"/>
  <c r="AL74" i="18"/>
  <c r="AM75" i="18"/>
  <c r="U241" i="18" l="1"/>
  <c r="T228" i="18"/>
  <c r="G304" i="20"/>
  <c r="I305" i="20"/>
  <c r="K305" i="20"/>
  <c r="J305" i="20"/>
  <c r="S120" i="18"/>
  <c r="AL73" i="18"/>
  <c r="AM74" i="18"/>
  <c r="N98" i="18"/>
  <c r="V50" i="18" l="1"/>
  <c r="W50" i="18" s="1"/>
  <c r="V68" i="18"/>
  <c r="X50" i="18"/>
  <c r="V49" i="18"/>
  <c r="W49" i="18" s="1"/>
  <c r="V67" i="18"/>
  <c r="V48" i="18"/>
  <c r="V47" i="18"/>
  <c r="V46" i="18"/>
  <c r="W46" i="18" s="1"/>
  <c r="V66" i="18"/>
  <c r="V45" i="18"/>
  <c r="V44" i="18"/>
  <c r="V43" i="18"/>
  <c r="V39" i="18"/>
  <c r="X39" i="18" s="1"/>
  <c r="V42" i="18"/>
  <c r="V41" i="18"/>
  <c r="V40" i="18"/>
  <c r="V38" i="18"/>
  <c r="V37" i="18"/>
  <c r="S121" i="18"/>
  <c r="S122" i="18" s="1"/>
  <c r="V33" i="18"/>
  <c r="W33" i="18" s="1"/>
  <c r="V34" i="18"/>
  <c r="V35" i="18"/>
  <c r="V51" i="18"/>
  <c r="V36" i="18"/>
  <c r="V32" i="18"/>
  <c r="X32" i="18" s="1"/>
  <c r="V65" i="18"/>
  <c r="G303" i="20"/>
  <c r="K304" i="20"/>
  <c r="I304" i="20"/>
  <c r="J304" i="20"/>
  <c r="V231" i="18"/>
  <c r="V241" i="18"/>
  <c r="V31" i="18"/>
  <c r="W31" i="18" s="1"/>
  <c r="V64" i="18"/>
  <c r="V120" i="18"/>
  <c r="V118" i="18"/>
  <c r="V117" i="18"/>
  <c r="V116" i="18"/>
  <c r="V119" i="18"/>
  <c r="V113" i="18"/>
  <c r="W113" i="18" s="1"/>
  <c r="V115" i="18"/>
  <c r="V114" i="18"/>
  <c r="V112" i="18"/>
  <c r="V111" i="18"/>
  <c r="V30" i="18"/>
  <c r="W30" i="18" s="1"/>
  <c r="V63" i="18"/>
  <c r="V109" i="18"/>
  <c r="V110" i="18"/>
  <c r="V107" i="18"/>
  <c r="V106" i="18"/>
  <c r="V105" i="18"/>
  <c r="V104" i="18"/>
  <c r="V101" i="18"/>
  <c r="V103" i="18"/>
  <c r="V102" i="18"/>
  <c r="V108" i="18"/>
  <c r="V148" i="18"/>
  <c r="V99" i="18"/>
  <c r="W99" i="18" s="1"/>
  <c r="V100" i="18"/>
  <c r="V29" i="18"/>
  <c r="W29" i="18" s="1"/>
  <c r="V62" i="18"/>
  <c r="V97" i="18"/>
  <c r="W97" i="18" s="1"/>
  <c r="V98" i="18"/>
  <c r="V94" i="18"/>
  <c r="W94" i="18" s="1"/>
  <c r="V96" i="18"/>
  <c r="V95" i="18"/>
  <c r="V93" i="18"/>
  <c r="W93" i="18" s="1"/>
  <c r="V91" i="18"/>
  <c r="V92" i="18"/>
  <c r="V28" i="18"/>
  <c r="V27" i="18"/>
  <c r="W27" i="18" s="1"/>
  <c r="V61" i="18"/>
  <c r="V26" i="18"/>
  <c r="X26" i="18" s="1"/>
  <c r="V60" i="18"/>
  <c r="V69" i="18"/>
  <c r="V59" i="18"/>
  <c r="V90" i="18"/>
  <c r="V58" i="18"/>
  <c r="V89" i="18"/>
  <c r="V25" i="18"/>
  <c r="V88" i="18"/>
  <c r="V24" i="18"/>
  <c r="V22" i="18"/>
  <c r="V23" i="18"/>
  <c r="W23" i="18" s="1"/>
  <c r="V87" i="18"/>
  <c r="V86" i="18"/>
  <c r="V85" i="18"/>
  <c r="V21" i="18"/>
  <c r="V84" i="18"/>
  <c r="V83" i="18"/>
  <c r="V81" i="18"/>
  <c r="V82" i="18"/>
  <c r="V78" i="18"/>
  <c r="V20" i="18"/>
  <c r="V79" i="18"/>
  <c r="V80" i="18"/>
  <c r="AL72" i="18"/>
  <c r="AM73" i="18"/>
  <c r="W68" i="18" l="1"/>
  <c r="X68" i="18"/>
  <c r="X49" i="18"/>
  <c r="W67" i="18"/>
  <c r="X67" i="18"/>
  <c r="X47" i="18"/>
  <c r="W47" i="18"/>
  <c r="W48" i="18"/>
  <c r="X48" i="18"/>
  <c r="X46" i="18"/>
  <c r="W66" i="18"/>
  <c r="X66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21" i="18"/>
  <c r="X121" i="18" s="1"/>
  <c r="S123" i="18"/>
  <c r="V122" i="18"/>
  <c r="W122" i="18" s="1"/>
  <c r="X33" i="18"/>
  <c r="W51" i="18"/>
  <c r="X51" i="18"/>
  <c r="W34" i="18"/>
  <c r="X34" i="18"/>
  <c r="W35" i="18"/>
  <c r="X35" i="18"/>
  <c r="X36" i="18"/>
  <c r="W36" i="18"/>
  <c r="W32" i="18"/>
  <c r="X65" i="18"/>
  <c r="W65" i="18"/>
  <c r="S161" i="18"/>
  <c r="G302" i="20"/>
  <c r="K303" i="20"/>
  <c r="I303" i="20"/>
  <c r="J303" i="20"/>
  <c r="X31" i="18"/>
  <c r="W64" i="18"/>
  <c r="X64" i="18"/>
  <c r="X113" i="18"/>
  <c r="W116" i="18"/>
  <c r="X116" i="18"/>
  <c r="W118" i="18"/>
  <c r="X118" i="18"/>
  <c r="X119" i="18"/>
  <c r="W119" i="18"/>
  <c r="W117" i="18"/>
  <c r="X117" i="18"/>
  <c r="W120" i="18"/>
  <c r="X120" i="18"/>
  <c r="W114" i="18"/>
  <c r="X114" i="18"/>
  <c r="W115" i="18"/>
  <c r="X115" i="18"/>
  <c r="X30" i="18"/>
  <c r="W111" i="18"/>
  <c r="X111" i="18"/>
  <c r="W112" i="18"/>
  <c r="X112" i="18"/>
  <c r="W63" i="18"/>
  <c r="X63" i="18"/>
  <c r="W110" i="18"/>
  <c r="X110" i="18"/>
  <c r="W109" i="18"/>
  <c r="X109" i="18"/>
  <c r="X106" i="18"/>
  <c r="W106" i="18"/>
  <c r="W107" i="18"/>
  <c r="X107" i="18"/>
  <c r="W104" i="18"/>
  <c r="X104" i="18"/>
  <c r="W105" i="18"/>
  <c r="X105" i="18"/>
  <c r="W148" i="18"/>
  <c r="X148" i="18"/>
  <c r="W103" i="18"/>
  <c r="X103" i="18"/>
  <c r="X108" i="18"/>
  <c r="W108" i="18"/>
  <c r="W102" i="18"/>
  <c r="X102" i="18"/>
  <c r="W101" i="18"/>
  <c r="X101" i="18"/>
  <c r="X99" i="18"/>
  <c r="W100" i="18"/>
  <c r="X100" i="18"/>
  <c r="X29" i="18"/>
  <c r="W62" i="18"/>
  <c r="X62" i="18"/>
  <c r="X97" i="18"/>
  <c r="W98" i="18"/>
  <c r="X98" i="18"/>
  <c r="X94" i="18"/>
  <c r="W95" i="18"/>
  <c r="X95" i="18"/>
  <c r="W96" i="18"/>
  <c r="X96" i="18"/>
  <c r="X93" i="18"/>
  <c r="W92" i="18"/>
  <c r="X92" i="18"/>
  <c r="W91" i="18"/>
  <c r="X91" i="18"/>
  <c r="W28" i="18"/>
  <c r="X28" i="18"/>
  <c r="X27" i="18"/>
  <c r="W61" i="18"/>
  <c r="X61" i="18"/>
  <c r="W26" i="18"/>
  <c r="W60" i="18"/>
  <c r="X60" i="18"/>
  <c r="W59" i="18"/>
  <c r="X59" i="18"/>
  <c r="W69" i="18"/>
  <c r="X69" i="18"/>
  <c r="S160" i="18"/>
  <c r="N41" i="18" s="1"/>
  <c r="S159" i="18"/>
  <c r="U159" i="18" s="1"/>
  <c r="W90" i="18"/>
  <c r="X90" i="18"/>
  <c r="X58" i="18"/>
  <c r="W58" i="18"/>
  <c r="W83" i="18"/>
  <c r="X83" i="18"/>
  <c r="W85" i="18"/>
  <c r="X85" i="18"/>
  <c r="W88" i="18"/>
  <c r="X88" i="18"/>
  <c r="W80" i="18"/>
  <c r="X80" i="18"/>
  <c r="W86" i="18"/>
  <c r="X86" i="18"/>
  <c r="X23" i="18"/>
  <c r="W25" i="18"/>
  <c r="X25" i="18"/>
  <c r="W20" i="18"/>
  <c r="X20" i="18"/>
  <c r="W82" i="18"/>
  <c r="X82" i="18"/>
  <c r="W22" i="18"/>
  <c r="X22" i="18"/>
  <c r="X89" i="18"/>
  <c r="W89" i="18"/>
  <c r="W79" i="18"/>
  <c r="X79" i="18"/>
  <c r="W78" i="18"/>
  <c r="X78" i="18"/>
  <c r="W84" i="18"/>
  <c r="X84" i="18"/>
  <c r="W81" i="18"/>
  <c r="X81" i="18"/>
  <c r="X21" i="18"/>
  <c r="W21" i="18"/>
  <c r="W87" i="18"/>
  <c r="X87" i="18"/>
  <c r="W24" i="18"/>
  <c r="X24" i="18"/>
  <c r="AL71" i="18"/>
  <c r="AM72" i="18"/>
  <c r="W121" i="18" l="1"/>
  <c r="X122" i="18"/>
  <c r="S124" i="18"/>
  <c r="V123" i="18"/>
  <c r="N75" i="18"/>
  <c r="U161" i="18"/>
  <c r="L21" i="18"/>
  <c r="G301" i="20"/>
  <c r="I302" i="20"/>
  <c r="K302" i="20"/>
  <c r="J302" i="20"/>
  <c r="U160" i="18"/>
  <c r="V160" i="18" s="1"/>
  <c r="AL70" i="18"/>
  <c r="AM71" i="18"/>
  <c r="X123" i="18" l="1"/>
  <c r="W123" i="18"/>
  <c r="S125" i="18"/>
  <c r="V124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24" i="18" l="1"/>
  <c r="X124" i="18"/>
  <c r="S126" i="18"/>
  <c r="S127" i="18" s="1"/>
  <c r="V125" i="18"/>
  <c r="G299" i="20"/>
  <c r="I300" i="20"/>
  <c r="K300" i="20"/>
  <c r="J300" i="20"/>
  <c r="AL68" i="18"/>
  <c r="AM69" i="18"/>
  <c r="N2" i="33"/>
  <c r="W125" i="18" l="1"/>
  <c r="X125" i="18"/>
  <c r="V12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26" i="18" l="1"/>
  <c r="W126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8" i="18"/>
  <c r="V127" i="18"/>
  <c r="I297" i="20"/>
  <c r="K297" i="20"/>
  <c r="J297" i="20"/>
  <c r="G296" i="20"/>
  <c r="AL65" i="18"/>
  <c r="AM66" i="18"/>
  <c r="E48" i="14"/>
  <c r="G48" i="14" s="1"/>
  <c r="X127" i="18" l="1"/>
  <c r="W127" i="18"/>
  <c r="S129" i="18"/>
  <c r="V128" i="18"/>
  <c r="G295" i="20"/>
  <c r="K296" i="20"/>
  <c r="I296" i="20"/>
  <c r="J296" i="20"/>
  <c r="AL64" i="18"/>
  <c r="AM65" i="18"/>
  <c r="E44" i="14"/>
  <c r="G44" i="14" s="1"/>
  <c r="W128" i="18" l="1"/>
  <c r="X128" i="18"/>
  <c r="S130" i="18"/>
  <c r="V129" i="18"/>
  <c r="G294" i="20"/>
  <c r="K295" i="20"/>
  <c r="J295" i="20"/>
  <c r="I295" i="20"/>
  <c r="AM64" i="18"/>
  <c r="AL63" i="18"/>
  <c r="E43" i="14"/>
  <c r="G43" i="14" s="1"/>
  <c r="W129" i="18" l="1"/>
  <c r="X129" i="18"/>
  <c r="V130" i="18"/>
  <c r="S131" i="18"/>
  <c r="G293" i="20"/>
  <c r="I294" i="20"/>
  <c r="J294" i="20"/>
  <c r="K294" i="20"/>
  <c r="AL62" i="18"/>
  <c r="AM63" i="18"/>
  <c r="E42" i="14"/>
  <c r="G42" i="14" s="1"/>
  <c r="S132" i="18" l="1"/>
  <c r="S133" i="18" s="1"/>
  <c r="V131" i="18"/>
  <c r="W130" i="18"/>
  <c r="X130" i="18"/>
  <c r="G292" i="20"/>
  <c r="K293" i="20"/>
  <c r="J293" i="20"/>
  <c r="I293" i="20"/>
  <c r="AL61" i="18"/>
  <c r="AM62" i="18"/>
  <c r="E41" i="14"/>
  <c r="G41" i="14" s="1"/>
  <c r="V132" i="18" l="1"/>
  <c r="X132" i="18" s="1"/>
  <c r="X131" i="18"/>
  <c r="W131" i="18"/>
  <c r="J292" i="20"/>
  <c r="I292" i="20"/>
  <c r="G291" i="20"/>
  <c r="K292" i="20"/>
  <c r="AM61" i="18"/>
  <c r="AL60" i="18"/>
  <c r="E40" i="14"/>
  <c r="G40" i="14" s="1"/>
  <c r="W132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3" i="18" l="1"/>
  <c r="W133" i="18" s="1"/>
  <c r="S134" i="18"/>
  <c r="J290" i="20"/>
  <c r="G289" i="20"/>
  <c r="I290" i="20"/>
  <c r="K290" i="20"/>
  <c r="AM59" i="18"/>
  <c r="AL58" i="18"/>
  <c r="E38" i="14"/>
  <c r="G38" i="14" s="1"/>
  <c r="X133" i="18" l="1"/>
  <c r="S135" i="18"/>
  <c r="S136" i="18" s="1"/>
  <c r="S137" i="18" s="1"/>
  <c r="S138" i="18" s="1"/>
  <c r="S139" i="18" s="1"/>
  <c r="V134" i="18"/>
  <c r="G288" i="20"/>
  <c r="K289" i="20"/>
  <c r="J289" i="20"/>
  <c r="I289" i="20"/>
  <c r="AL57" i="18"/>
  <c r="AM58" i="18"/>
  <c r="E37" i="14"/>
  <c r="G37" i="14" s="1"/>
  <c r="V137" i="18" l="1"/>
  <c r="W134" i="18"/>
  <c r="X134" i="18"/>
  <c r="V135" i="18"/>
  <c r="J288" i="20"/>
  <c r="K288" i="20"/>
  <c r="G287" i="20"/>
  <c r="I288" i="20"/>
  <c r="AL56" i="18"/>
  <c r="AM57" i="18"/>
  <c r="E36" i="14"/>
  <c r="G36" i="14" s="1"/>
  <c r="B105" i="13"/>
  <c r="W137" i="18" l="1"/>
  <c r="X137" i="18"/>
  <c r="W135" i="18"/>
  <c r="X135" i="18"/>
  <c r="V136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6" i="18" l="1"/>
  <c r="X136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8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8" i="18" l="1"/>
  <c r="X138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9" i="18" l="1"/>
  <c r="W139" i="18" s="1"/>
  <c r="S140" i="18"/>
  <c r="S141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42" i="18" l="1"/>
  <c r="V141" i="18"/>
  <c r="X139" i="18"/>
  <c r="V140" i="18"/>
  <c r="K280" i="20"/>
  <c r="G279" i="20"/>
  <c r="J280" i="20"/>
  <c r="I280" i="20"/>
  <c r="AL48" i="18"/>
  <c r="AM49" i="18"/>
  <c r="E30" i="14"/>
  <c r="G31" i="14"/>
  <c r="E248" i="15"/>
  <c r="V142" i="18" l="1"/>
  <c r="X142" i="18" s="1"/>
  <c r="S143" i="18"/>
  <c r="W141" i="18"/>
  <c r="X141" i="18"/>
  <c r="W140" i="18"/>
  <c r="X140" i="18"/>
  <c r="J279" i="20"/>
  <c r="I279" i="20"/>
  <c r="G278" i="20"/>
  <c r="K279" i="20"/>
  <c r="AL47" i="18"/>
  <c r="AM48" i="18"/>
  <c r="E29" i="14"/>
  <c r="G30" i="14"/>
  <c r="E247" i="15"/>
  <c r="E246" i="15"/>
  <c r="W142" i="18" l="1"/>
  <c r="V143" i="18"/>
  <c r="X143" i="18" s="1"/>
  <c r="S144" i="18"/>
  <c r="W143" i="18"/>
  <c r="J278" i="20"/>
  <c r="I278" i="20"/>
  <c r="G277" i="20"/>
  <c r="K278" i="20"/>
  <c r="AL46" i="18"/>
  <c r="AM47" i="18"/>
  <c r="E28" i="14"/>
  <c r="G29" i="14"/>
  <c r="E245" i="15"/>
  <c r="V144" i="18" l="1"/>
  <c r="W144" i="18" s="1"/>
  <c r="S145" i="18"/>
  <c r="J277" i="20"/>
  <c r="I277" i="20"/>
  <c r="G276" i="20"/>
  <c r="K277" i="20"/>
  <c r="AM46" i="18"/>
  <c r="AL45" i="18"/>
  <c r="E27" i="14"/>
  <c r="G28" i="14"/>
  <c r="N15" i="33"/>
  <c r="E244" i="15"/>
  <c r="X144" i="18" l="1"/>
  <c r="S146" i="18"/>
  <c r="V145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W145" i="18" l="1"/>
  <c r="X145" i="18"/>
  <c r="S147" i="18"/>
  <c r="V147" i="18" s="1"/>
  <c r="V146" i="18"/>
  <c r="G274" i="20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W146" i="18" l="1"/>
  <c r="X146" i="18"/>
  <c r="W147" i="18"/>
  <c r="X147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51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51" i="18"/>
  <c r="AJ156" i="18" s="1"/>
  <c r="AJ160" i="18" s="1"/>
  <c r="E172" i="13"/>
  <c r="G173" i="13"/>
  <c r="D62" i="38"/>
  <c r="J249" i="20" l="1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8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9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8" i="18" l="1"/>
  <c r="F24" i="18" s="1"/>
  <c r="G113" i="20"/>
  <c r="J114" i="20"/>
  <c r="I114" i="20"/>
  <c r="K114" i="20"/>
  <c r="L79" i="18"/>
  <c r="E33" i="13"/>
  <c r="G34" i="13"/>
  <c r="F108" i="15"/>
  <c r="C20" i="18"/>
  <c r="G20" i="14"/>
  <c r="G21" i="14"/>
  <c r="G112" i="20" l="1"/>
  <c r="K113" i="20"/>
  <c r="J113" i="20"/>
  <c r="I113" i="20"/>
  <c r="L80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9" i="18"/>
  <c r="V161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<sst xmlns="http://schemas.openxmlformats.org/spreadsheetml/2006/main" count="11355" uniqueCount="4956">
  <si>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</si>
  <si>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</si>
  <si>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</si>
  <si>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</si>
  <si>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</si>
  <si>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</si>
  <si>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</si>
  <si>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</si>
  <si>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</si>
  <si>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</si>
  <si>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</si>
  <si>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</si>
  <si>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</si>
  <si>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</si>
  <si>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</si>
  <si>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</si>
  <si>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</si>
  <si>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</si>
  <si>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</si>
  <si>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</si>
  <si>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</si>
  <si>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</si>
  <si>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</si>
  <si>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</si>
  <si>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</si>
  <si>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</si>
  <si>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</si>
  <si>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</si>
  <si>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</si>
  <si>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</si>
  <si>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</si>
  <si>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</si>
  <si>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</si>
  <si>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</si>
  <si>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</si>
  <si>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</si>
  <si>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</si>
  <si>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</si>
  <si>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</si>
  <si>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</si>
  <si>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</si>
  <si>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</si>
  <si>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</si>
  <si>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</si>
  <si>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</si>
  <si>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</si>
  <si>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</si>
  <si>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</si>
  <si>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</si>
  <si>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</si>
  <si>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</si>
  <si>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</si>
  <si>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</si>
  <si>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</si>
  <si>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</si>
  <si>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</si>
  <si>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</si>
  <si>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</si>
  <si>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</si>
  <si>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</si>
  <si>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</si>
  <si>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</si>
  <si>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</si>
  <si>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</si>
  <si>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</si>
  <si>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</si>
  <si>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</si>
  <si>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</si>
  <si>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</si>
  <si>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</si>
  <si>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</si>
  <si>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</si>
  <si>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</si>
  <si>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</si>
  <si>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</si>
  <si>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</si>
  <si>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</si>
  <si>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</si>
  <si>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</si>
  <si>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</si>
  <si>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</si>
  <si>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</si>
  <si>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</si>
  <si>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</si>
  <si>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</si>
  <si>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</si>
  <si>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</si>
  <si>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</si>
  <si>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</si>
  <si>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</si>
  <si>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</si>
  <si>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</si>
  <si>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</si>
  <si>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</si>
  <si>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</si>
  <si>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</si>
  <si>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</si>
  <si>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</si>
  <si>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</si>
  <si>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</si>
  <si>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</si>
  <si>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</si>
  <si>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</si>
  <si>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</si>
  <si>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</si>
  <si>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</si>
  <si>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</si>
  <si>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</si>
  <si>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</si>
  <si>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</si>
  <si>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</si>
  <si>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</si>
  <si>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</si>
  <si>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</si>
  <si>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</si>
  <si>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</si>
  <si>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</si>
  <si>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</si>
  <si>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</si>
  <si>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</si>
  <si>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</si>
  <si>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</si>
  <si>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</si>
  <si>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</si>
  <si>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</si>
  <si>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</si>
  <si>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</si>
  <si>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</si>
  <si>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</si>
  <si>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</si>
  <si>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</si>
  <si>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</si>
  <si>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</si>
  <si>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</si>
  <si>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</si>
  <si>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</si>
  <si>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</si>
  <si>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</si>
  <si>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</si>
  <si>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</si>
  <si>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</si>
  <si>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</si>
  <si>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</si>
  <si>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</si>
  <si>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</si>
  <si>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</si>
  <si>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</si>
  <si>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</si>
  <si>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</si>
  <si>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</si>
  <si>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</si>
  <si>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</si>
  <si>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</si>
  <si>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</si>
  <si>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</si>
  <si>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</si>
  <si>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</si>
  <si>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</si>
  <si>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</si>
  <si>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</si>
  <si>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</si>
  <si>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</si>
  <si>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</si>
  <si>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</si>
  <si>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</si>
  <si>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</si>
  <si>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</si>
  <si>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</si>
  <si>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</si>
  <si>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</si>
  <si>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</si>
  <si>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</si>
  <si>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</si>
  <si>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</si>
  <si>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</si>
  <si>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</si>
  <si>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</si>
  <si>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</si>
  <si>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</si>
  <si>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</si>
  <si>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</si>
  <si>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</si>
  <si>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</si>
  <si>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</si>
  <si>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</si>
  <si>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</si>
  <si>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</si>
  <si>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</si>
  <si>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</si>
  <si>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</si>
  <si>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</si>
  <si>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</si>
  <si>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</si>
  <si>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</si>
  <si>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</si>
  <si>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</si>
  <si>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</si>
  <si>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</si>
  <si>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</si>
  <si>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</si>
  <si>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</si>
  <si>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</si>
  <si>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</si>
  <si>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</si>
  <si>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</si>
  <si>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</si>
  <si>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</si>
  <si>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</si>
  <si>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</si>
  <si>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</si>
  <si>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</si>
  <si>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</si>
  <si>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</si>
  <si>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</si>
  <si>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</si>
  <si>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</si>
  <si>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</si>
  <si>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</si>
  <si>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</si>
  <si>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</si>
  <si>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</si>
  <si>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</si>
  <si>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</si>
  <si>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</si>
  <si>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</si>
  <si>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</si>
  <si>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</si>
  <si>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</si>
  <si>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</si>
  <si>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</si>
  <si>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</si>
  <si>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</si>
  <si>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</si>
  <si>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</si>
  <si>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</si>
  <si>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</si>
  <si>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</si>
  <si>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</si>
  <si>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</si>
  <si>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</si>
  <si>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</si>
  <si>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</si>
  <si>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</si>
  <si>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</si>
  <si>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</si>
  <si>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</si>
  <si>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</si>
  <si>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</si>
  <si>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</si>
  <si>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</si>
  <si>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</si>
  <si>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</si>
  <si>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</si>
  <si>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</si>
  <si>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</si>
  <si>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</si>
  <si>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</si>
  <si>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</si>
  <si>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</si>
  <si>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</si>
  <si>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</si>
  <si>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</si>
  <si>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</si>
  <si>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</si>
  <si>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</si>
  <si>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</si>
  <si>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</si>
  <si>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</si>
  <si>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</si>
  <si>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</si>
  <si>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</si>
  <si>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</si>
  <si>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</si>
  <si>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</si>
  <si>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</si>
  <si>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</si>
  <si>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</si>
  <si>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</si>
  <si>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</si>
  <si>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</si>
  <si>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</si>
  <si>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</si>
  <si>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</si>
  <si>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</si>
  <si>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</si>
  <si>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</si>
  <si>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</si>
  <si>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</si>
  <si>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</si>
  <si>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</si>
  <si>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</si>
  <si>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</si>
  <si>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</si>
  <si>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</si>
  <si>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</si>
  <si>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</si>
  <si>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</si>
  <si>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</si>
  <si>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</si>
  <si>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</si>
  <si>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</si>
  <si>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</si>
  <si>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</si>
  <si>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</si>
  <si>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</si>
  <si>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</si>
  <si>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</si>
  <si>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</si>
  <si>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</si>
  <si>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</si>
  <si>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</si>
  <si>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</si>
  <si>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</si>
  <si>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</si>
  <si>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</si>
  <si>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</si>
  <si>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</si>
  <si>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</si>
  <si>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</si>
  <si>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</si>
  <si>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</si>
  <si>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</si>
  <si>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</si>
  <si>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</si>
  <si>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</si>
  <si>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</si>
  <si>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</si>
  <si>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</si>
  <si>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</si>
  <si>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</si>
  <si>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</si>
  <si>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</si>
  <si>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</si>
  <si>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</si>
  <si>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</si>
  <si>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</si>
  <si>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</si>
  <si>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</si>
  <si>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</si>
  <si>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</si>
  <si>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</si>
  <si>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</si>
  <si>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</si>
  <si>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</si>
  <si>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</si>
  <si>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</si>
  <si>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</si>
  <si>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</si>
  <si>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</si>
  <si>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</si>
  <si>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</si>
  <si>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</si>
  <si>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</si>
  <si>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</si>
  <si>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</si>
  <si>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</si>
  <si>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</si>
  <si>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</si>
  <si>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</si>
  <si>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</si>
  <si>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</si>
  <si>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</si>
  <si>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</si>
  <si>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</si>
  <si>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</si>
  <si>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</si>
  <si>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</si>
  <si>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</si>
  <si>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</si>
  <si>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</si>
  <si>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</si>
  <si>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</si>
  <si>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</si>
  <si>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</si>
  <si>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</si>
  <si>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</si>
  <si>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</si>
  <si>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</si>
  <si>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</si>
  <si>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</si>
  <si>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</si>
  <si>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</si>
  <si>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</si>
  <si>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</si>
  <si>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</si>
  <si>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</si>
  <si>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</si>
  <si>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</si>
  <si>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</si>
  <si>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</si>
  <si>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</si>
  <si>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</si>
  <si>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</si>
  <si>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</si>
  <si>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</si>
  <si>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</si>
  <si>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</si>
  <si>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</si>
  <si>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</si>
  <si>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</si>
  <si>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</si>
  <si>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</si>
  <si>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</si>
  <si>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</si>
  <si>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</si>
  <si>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</si>
  <si>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</si>
  <si>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</si>
  <si>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</si>
  <si>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</si>
  <si>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</si>
  <si>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</si>
  <si>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</si>
  <si>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</si>
  <si>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</si>
  <si>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</si>
  <si>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</si>
  <si>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</si>
  <si>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</si>
  <si>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</si>
  <si>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</si>
  <si>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</si>
  <si>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</si>
  <si>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</si>
  <si>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</si>
  <si>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</si>
  <si>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</si>
  <si>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</si>
  <si>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</si>
  <si>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</si>
  <si>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</si>
  <si>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</si>
  <si>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</si>
  <si>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</si>
  <si>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</si>
  <si>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</si>
  <si>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</si>
  <si>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</si>
  <si>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</si>
  <si>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</si>
  <si>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</si>
  <si>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</si>
  <si>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</si>
  <si>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</si>
  <si>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</si>
  <si>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</si>
  <si>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</si>
  <si>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</si>
  <si>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</si>
  <si>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</si>
  <si>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</si>
  <si>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</si>
  <si>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</si>
  <si>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</si>
  <si>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</si>
  <si>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</si>
  <si>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</si>
  <si>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</si>
  <si>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</si>
  <si>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</si>
  <si>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</si>
  <si>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</si>
  <si>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</si>
  <si>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</si>
  <si>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</si>
  <si>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</si>
  <si>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</si>
  <si>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</si>
  <si>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</si>
  <si>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</si>
  <si>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</si>
  <si>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</si>
  <si>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</si>
  <si>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</si>
  <si>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</si>
  <si>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</si>
  <si>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</si>
  <si>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</si>
  <si>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</si>
  <si>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</si>
  <si>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</si>
  <si>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</si>
  <si>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</si>
  <si>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</si>
  <si>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</si>
  <si>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</si>
  <si>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</si>
  <si>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</si>
  <si>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</si>
  <si>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</si>
  <si>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</si>
  <si>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</si>
  <si>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</si>
  <si>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</si>
  <si>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</si>
  <si>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</si>
  <si>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</si>
  <si>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</si>
  <si>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</si>
  <si>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</si>
  <si>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</si>
  <si>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</si>
  <si>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</si>
  <si>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</si>
  <si>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</si>
  <si>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</si>
  <si>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</si>
  <si>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</si>
  <si>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</si>
  <si>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</si>
  <si>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</si>
  <si>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</si>
  <si>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</si>
  <si>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</si>
  <si>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</si>
  <si>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</si>
  <si>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</si>
  <si>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</si>
  <si>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</si>
  <si>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</si>
  <si>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</si>
  <si>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</si>
  <si>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</si>
  <si>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</si>
  <si>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</si>
  <si>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</si>
  <si>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</si>
  <si>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</si>
  <si>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</si>
  <si>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</si>
  <si>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</si>
  <si>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</si>
  <si>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</si>
  <si>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</si>
  <si>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</si>
  <si>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</si>
  <si>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</si>
  <si>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</si>
  <si>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</si>
  <si>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</si>
  <si>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</si>
  <si>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</si>
  <si>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</si>
  <si>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</si>
  <si>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</si>
  <si>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</si>
  <si>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</si>
  <si>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</si>
  <si>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</si>
  <si>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</si>
  <si>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</si>
  <si>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</si>
  <si>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</si>
  <si>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</si>
  <si>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</si>
  <si>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</si>
  <si>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</si>
  <si>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</si>
  <si>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</si>
  <si>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</si>
  <si>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</si>
  <si>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</si>
  <si>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</si>
  <si>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</si>
  <si>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</si>
  <si>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</si>
  <si>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</si>
  <si>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</si>
  <si>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</si>
  <si>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</si>
  <si>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</si>
  <si>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</si>
  <si>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</si>
  <si>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</si>
  <si>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</si>
  <si>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</si>
  <si>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</si>
  <si>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</si>
  <si>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</si>
  <si>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</si>
  <si>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</si>
  <si>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</si>
  <si>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</si>
  <si>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</si>
  <si>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</si>
  <si>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</si>
  <si>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</si>
  <si>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</si>
  <si>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</si>
  <si>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</si>
  <si>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</si>
  <si>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</si>
  <si>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</si>
  <si>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</si>
  <si>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</si>
  <si>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</si>
  <si>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</si>
  <si>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</si>
  <si>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</si>
  <si>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</si>
  <si>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</si>
  <si>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</si>
  <si>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</si>
  <si>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</si>
  <si>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</si>
  <si>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</si>
  <si>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</si>
  <si>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</si>
  <si>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</si>
  <si>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</si>
  <si>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</si>
  <si>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</si>
  <si>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</si>
  <si>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</si>
  <si>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</si>
  <si>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</si>
  <si>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</si>
  <si>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</si>
  <si>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</si>
  <si>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</si>
  <si>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</si>
  <si>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</si>
  <si>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</si>
  <si>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</si>
  <si>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</si>
  <si>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</si>
  <si>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</si>
  <si>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</si>
  <si>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</si>
  <si>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</si>
  <si>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</si>
  <si>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</si>
  <si>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</si>
  <si>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</si>
  <si>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</si>
  <si>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</si>
  <si>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</si>
  <si>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</si>
  <si>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</si>
  <si>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</si>
  <si>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</si>
  <si>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</si>
  <si>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</si>
  <si>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</si>
  <si>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</si>
  <si>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</si>
  <si>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</si>
  <si>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</si>
  <si>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</si>
  <si>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</si>
  <si>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</si>
  <si>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</si>
  <si>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</si>
  <si>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</si>
  <si>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</si>
  <si>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</si>
  <si>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</si>
  <si>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</si>
  <si>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</si>
  <si>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</si>
  <si>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</si>
  <si>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</si>
  <si>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</si>
  <si>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</si>
  <si>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</si>
  <si>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</si>
  <si>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</si>
  <si>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</si>
  <si>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</si>
  <si>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</si>
  <si>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</si>
  <si>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</si>
  <si>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</si>
  <si>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</si>
  <si>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</si>
  <si>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</si>
  <si>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</si>
  <si>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</si>
  <si>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</si>
  <si>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</si>
  <si>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</si>
  <si>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</si>
  <si>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</si>
  <si>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</si>
  <si>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</si>
  <si>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</si>
  <si>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</si>
  <si>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</si>
  <si>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</si>
  <si>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</si>
  <si>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</si>
  <si>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</si>
  <si>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</si>
  <si>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</si>
  <si>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</si>
  <si>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</si>
  <si>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</si>
  <si>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</si>
  <si>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</si>
  <si>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</si>
  <si>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</si>
  <si>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</si>
  <si>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</si>
  <si>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</si>
  <si>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</si>
  <si>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</si>
  <si>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</si>
  <si>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</si>
  <si>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</si>
  <si>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</si>
  <si>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</si>
  <si>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</si>
  <si>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</si>
  <si>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</si>
  <si>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</si>
  <si>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</si>
  <si>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</si>
  <si>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</si>
  <si>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</si>
  <si>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</si>
  <si>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</si>
  <si>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</si>
  <si>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</si>
  <si>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</si>
  <si>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</si>
  <si>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</si>
  <si>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</si>
  <si>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</si>
  <si>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</si>
  <si>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</si>
  <si>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</si>
  <si>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</si>
  <si>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</si>
  <si>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</si>
  <si>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</si>
  <si>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</si>
  <si>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</si>
  <si>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</si>
  <si>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</si>
  <si>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</si>
  <si>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</si>
  <si>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</si>
  <si>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</si>
  <si>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</si>
  <si>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</si>
  <si>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</si>
  <si>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</si>
  <si>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</si>
  <si>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</si>
  <si>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</si>
  <si>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</si>
  <si>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</si>
  <si>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</si>
  <si>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</si>
  <si>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</si>
  <si>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</si>
  <si>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</si>
  <si>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</si>
  <si>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</si>
  <si>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</si>
  <si>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</si>
  <si>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</si>
  <si>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</si>
  <si>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</si>
  <si>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</si>
  <si>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</si>
  <si>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</si>
  <si>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</si>
  <si>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</si>
  <si>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</si>
  <si>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</si>
  <si>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</si>
  <si>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</si>
  <si>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</si>
  <si>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</si>
  <si>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</si>
  <si>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</si>
  <si>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</si>
  <si>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</si>
  <si>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</si>
  <si>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</si>
  <si>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</si>
  <si>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</si>
  <si>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</si>
  <si>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</si>
  <si>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</si>
  <si>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</si>
  <si>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</si>
  <si>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</si>
  <si>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</si>
  <si>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</si>
  <si>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</si>
  <si>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</si>
  <si>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</si>
  <si>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</si>
  <si>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</si>
  <si>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</si>
  <si>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</si>
  <si>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</si>
  <si>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</si>
  <si>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</si>
  <si>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</si>
  <si>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</si>
  <si>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</si>
  <si>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</si>
  <si>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</si>
  <si>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</si>
  <si>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</si>
  <si>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</si>
  <si>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</si>
  <si>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</si>
  <si>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</si>
  <si>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</si>
  <si>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</si>
  <si>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</si>
  <si>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</si>
  <si>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</si>
  <si>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</si>
  <si>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</si>
  <si>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</si>
  <si>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</si>
  <si>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</si>
  <si>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</si>
  <si>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</si>
  <si>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</si>
  <si>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</si>
  <si>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</si>
  <si>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</si>
  <si>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</si>
  <si>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</si>
  <si>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</si>
  <si>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</si>
  <si>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</si>
  <si>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</si>
  <si>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</si>
  <si>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</si>
  <si>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</si>
  <si>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</si>
  <si>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</si>
  <si>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</si>
  <si>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</si>
  <si>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</si>
  <si>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</si>
  <si>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</si>
  <si>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</si>
  <si>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</si>
  <si>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</si>
  <si>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</si>
  <si>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</si>
  <si>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</si>
  <si>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</si>
  <si>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</si>
  <si>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</si>
  <si>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</si>
  <si>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</si>
  <si>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</si>
  <si>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</si>
  <si>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</si>
  <si>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</si>
  <si>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</si>
  <si>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</si>
  <si>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</si>
  <si>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</si>
  <si>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</si>
  <si>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</si>
  <si>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</si>
  <si>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</si>
  <si>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</si>
  <si>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</si>
  <si>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</si>
  <si>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</si>
  <si>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</si>
  <si>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</si>
  <si>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</si>
  <si>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</si>
  <si>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</si>
  <si>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</si>
  <si>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</si>
  <si>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</si>
  <si>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</si>
  <si>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</si>
  <si>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</si>
  <si>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</si>
  <si>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</si>
  <si>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</si>
  <si>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</si>
  <si>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</si>
  <si>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</si>
  <si>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</si>
  <si>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</si>
  <si>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</si>
  <si>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</si>
  <si>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</si>
  <si>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</si>
  <si>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</si>
  <si>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</si>
  <si>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</si>
  <si>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</si>
  <si>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</si>
  <si>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</si>
  <si>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</si>
  <si>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</si>
  <si>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</si>
  <si>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</si>
  <si>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</si>
  <si>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</si>
  <si>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</si>
  <si>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</si>
  <si>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</si>
  <si>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</si>
  <si>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</si>
  <si>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</si>
  <si>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</si>
  <si>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</si>
  <si>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</si>
  <si>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</si>
  <si>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</si>
  <si>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</si>
  <si>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</si>
  <si>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</si>
  <si>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</si>
  <si>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</si>
  <si>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</si>
  <si>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</si>
  <si>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</si>
  <si>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</si>
  <si>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</si>
  <si>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</si>
  <si>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</si>
  <si>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</si>
  <si>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</si>
  <si>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</si>
  <si>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</si>
  <si>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</si>
  <si>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</si>
  <si>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</si>
  <si>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</si>
  <si>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</si>
  <si>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</si>
  <si>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</si>
  <si>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</si>
  <si>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</si>
  <si>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</si>
  <si>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</si>
  <si>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</si>
  <si>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</si>
  <si>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</si>
  <si>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</si>
  <si>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</si>
  <si>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</si>
  <si>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</si>
  <si>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</si>
  <si>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</si>
  <si>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</si>
  <si>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</si>
  <si>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</si>
  <si>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</si>
  <si>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</si>
  <si>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</si>
  <si>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</si>
  <si>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</si>
  <si>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</si>
  <si>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</si>
  <si>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</si>
  <si>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</si>
  <si>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</si>
  <si>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</si>
  <si>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</si>
  <si>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</si>
  <si>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</si>
  <si>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</si>
  <si>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</si>
  <si>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</si>
  <si>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</si>
  <si>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</si>
  <si>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</si>
  <si>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</si>
  <si>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</si>
  <si>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</si>
  <si>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</si>
  <si>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</si>
  <si>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</si>
  <si>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</si>
  <si>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</si>
  <si>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</si>
  <si>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</si>
  <si>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</si>
  <si>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</si>
  <si>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</si>
  <si>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</si>
  <si>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</si>
  <si>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</si>
  <si>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</si>
  <si>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</si>
  <si>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</si>
  <si>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</si>
  <si>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</si>
  <si>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</si>
  <si>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</si>
  <si>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</si>
  <si>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</si>
  <si>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</si>
  <si>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</si>
  <si>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</si>
  <si>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</si>
  <si>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</si>
  <si>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</si>
  <si>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</si>
  <si>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</si>
  <si>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</si>
  <si>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</si>
  <si>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</si>
  <si>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</si>
  <si>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</si>
  <si>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</si>
  <si>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</si>
  <si>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</si>
  <si>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</si>
  <si>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</si>
  <si>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</si>
  <si>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</si>
  <si>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</si>
  <si>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</si>
  <si>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</si>
  <si>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</si>
  <si>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</si>
  <si>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</si>
  <si>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</si>
  <si>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</si>
  <si>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</si>
  <si>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</si>
  <si>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</si>
  <si>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</si>
  <si>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</si>
  <si>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</si>
  <si>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</si>
  <si>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</si>
  <si>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</si>
  <si>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</si>
  <si>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</si>
  <si>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</si>
  <si>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</si>
  <si>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</si>
  <si>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</si>
  <si>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</si>
  <si>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</si>
  <si>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</si>
  <si>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</si>
  <si>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</si>
  <si>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</si>
  <si>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</si>
  <si>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</si>
  <si>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</si>
  <si>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</si>
  <si>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</si>
  <si>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</si>
  <si>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</si>
  <si>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</si>
  <si>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</si>
  <si>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</si>
  <si>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</si>
  <si>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</si>
  <si>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</si>
  <si>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</si>
  <si>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</si>
  <si>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</si>
  <si>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</si>
  <si>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</si>
  <si>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</si>
  <si>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</si>
  <si>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</si>
  <si>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</si>
  <si>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</si>
  <si>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</si>
  <si>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</si>
  <si>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</si>
  <si>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</si>
  <si>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</si>
  <si>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</si>
  <si>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</si>
  <si>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</si>
  <si>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</si>
  <si>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</si>
  <si>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</si>
  <si>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</si>
  <si>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</si>
  <si>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</si>
  <si>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</si>
  <si>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</si>
  <si>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</si>
  <si>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</si>
  <si>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</si>
  <si>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</si>
  <si>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</si>
  <si>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</si>
  <si>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</si>
  <si>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</si>
  <si>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</si>
  <si>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</si>
  <si>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</si>
  <si>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</si>
  <si>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</si>
  <si>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</si>
  <si>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</si>
  <si>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</si>
  <si>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</si>
  <si>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</si>
  <si>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</si>
  <si>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</si>
  <si>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</si>
  <si>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</si>
  <si>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</si>
  <si>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</si>
  <si>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</si>
  <si>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</si>
  <si>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</si>
  <si>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</si>
  <si>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</si>
  <si>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</si>
  <si>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</si>
  <si>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</si>
  <si>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</si>
  <si>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</si>
  <si>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</si>
  <si>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</si>
  <si>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</si>
  <si>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</si>
  <si>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</si>
  <si>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</si>
  <si>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</si>
  <si>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</si>
  <si>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</si>
  <si>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</si>
  <si>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</si>
  <si>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</si>
  <si>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</si>
  <si>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</si>
  <si>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</si>
  <si>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</si>
  <si>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</si>
  <si>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</si>
  <si>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</si>
  <si>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</si>
  <si>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</si>
  <si>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</si>
  <si>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</si>
  <si>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</si>
  <si>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</si>
  <si>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</si>
  <si>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</si>
  <si>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</si>
  <si>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</si>
  <si>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</si>
  <si>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</si>
  <si>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</si>
  <si>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</si>
  <si>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</si>
  <si>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</si>
  <si>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</si>
  <si>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</si>
  <si>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</si>
  <si>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</si>
  <si>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</si>
  <si>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</si>
  <si>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</si>
  <si>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</si>
  <si>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</si>
  <si>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</si>
  <si>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</si>
  <si>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</si>
  <si>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</si>
  <si>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</si>
  <si>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</si>
  <si>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</si>
  <si>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</si>
  <si>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</si>
  <si>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</si>
  <si>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</si>
  <si>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</si>
  <si>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</si>
  <si>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</si>
  <si>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</si>
  <si>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</si>
  <si>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</si>
  <si>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</si>
  <si>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</si>
  <si>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</si>
  <si>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</si>
  <si>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</si>
  <si>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</si>
  <si>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</si>
  <si>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</si>
  <si>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</si>
  <si>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</si>
  <si>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</si>
  <si>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</si>
  <si>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</si>
  <si>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</si>
  <si>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</si>
  <si>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</si>
  <si>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</si>
  <si>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</si>
  <si>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</si>
  <si>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</si>
  <si>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</si>
  <si>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</si>
  <si>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</si>
  <si>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</si>
  <si>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</si>
  <si>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</si>
  <si>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</si>
  <si>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</si>
  <si>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</si>
  <si>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</si>
  <si>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</si>
  <si>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</si>
  <si>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</si>
  <si>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</si>
  <si>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</si>
  <si>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</si>
  <si>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</si>
  <si>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</si>
  <si>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</si>
  <si>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</si>
  <si>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</si>
  <si>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</si>
  <si>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</si>
  <si>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</si>
  <si>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</si>
  <si>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</si>
  <si>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</si>
  <si>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</si>
  <si>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</si>
  <si>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</si>
  <si>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</si>
  <si>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</si>
  <si>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</si>
  <si>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</si>
  <si>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</si>
  <si>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</si>
  <si>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</si>
  <si>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</si>
  <si>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</si>
  <si>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</si>
  <si>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</si>
  <si>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</si>
  <si>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</si>
  <si>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</si>
  <si>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</si>
  <si>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</si>
  <si>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</si>
  <si>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</si>
  <si>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</si>
  <si>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</si>
  <si>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</si>
  <si>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</si>
  <si>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</si>
  <si>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</si>
  <si>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</si>
  <si>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</si>
  <si>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</si>
  <si>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</si>
  <si>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</si>
  <si>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</si>
  <si>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</si>
  <si>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</si>
  <si>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</si>
  <si>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</si>
  <si>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</si>
  <si>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</si>
  <si>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</si>
  <si>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</si>
  <si>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</si>
  <si>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</si>
  <si>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</si>
  <si>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</si>
  <si>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</si>
  <si>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</si>
  <si>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</si>
  <si>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</si>
  <si>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</si>
  <si>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</si>
  <si>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</si>
  <si>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</si>
  <si>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</si>
  <si>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</si>
  <si>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</si>
  <si>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</si>
  <si>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</si>
  <si>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</si>
  <si>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</si>
  <si>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</si>
  <si>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</si>
  <si>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</si>
  <si>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</si>
  <si>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</si>
  <si>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</si>
  <si>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</si>
  <si>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</si>
  <si>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</si>
  <si>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</si>
  <si>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</si>
  <si>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</si>
  <si>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</si>
  <si>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</si>
  <si>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</si>
  <si>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</si>
  <si>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</si>
  <si>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</si>
  <si>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</si>
  <si>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</si>
  <si>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</si>
  <si>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</si>
  <si>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</si>
  <si>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</si>
  <si>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</si>
  <si>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</si>
  <si>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</si>
  <si>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</si>
  <si>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</si>
  <si>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</si>
  <si>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</si>
  <si>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</si>
  <si>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</si>
  <si>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</si>
  <si>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</si>
  <si>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</si>
  <si>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</si>
  <si>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</si>
  <si>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</si>
  <si>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</si>
  <si>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</si>
  <si>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</si>
  <si>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</si>
  <si>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</si>
  <si>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</si>
  <si>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</si>
  <si>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</si>
  <si>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</si>
  <si>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</si>
  <si>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</si>
  <si>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</si>
  <si>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</si>
  <si>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</si>
  <si>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</si>
  <si>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</si>
  <si>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</si>
  <si>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</si>
  <si>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</si>
  <si>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</si>
  <si>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</si>
  <si>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</si>
  <si>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</si>
  <si>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</si>
  <si>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</si>
  <si>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</si>
  <si>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</si>
  <si>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</si>
  <si>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</si>
  <si>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</si>
  <si>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</si>
  <si>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</si>
  <si>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</si>
  <si>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</si>
  <si>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</si>
  <si>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</si>
  <si>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</si>
  <si>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</si>
  <si>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</si>
  <si>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</si>
  <si>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</si>
  <si>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</si>
  <si>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</si>
  <si>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</si>
  <si>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</si>
  <si>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</si>
  <si>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</si>
  <si>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</si>
  <si>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</si>
  <si>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</si>
  <si>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</si>
  <si>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</si>
  <si>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</si>
  <si>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</si>
  <si>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</si>
  <si>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</si>
  <si>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</si>
  <si>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</si>
  <si>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</si>
  <si>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</si>
  <si>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</si>
  <si>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</si>
  <si>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</si>
  <si>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</si>
  <si>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</si>
  <si>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</si>
  <si>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</si>
  <si>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</si>
  <si>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</si>
  <si>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</si>
  <si>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</si>
  <si>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</si>
  <si>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</si>
  <si>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</si>
  <si>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</si>
  <si>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</si>
  <si>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</si>
  <si>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</si>
  <si>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</si>
  <si>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</si>
  <si>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</si>
  <si>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</si>
  <si>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</si>
  <si>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</si>
  <si>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</si>
  <si>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</si>
  <si>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</si>
  <si>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</si>
  <si>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</si>
  <si>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</si>
  <si>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</si>
  <si>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</si>
  <si>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</si>
  <si>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</si>
  <si>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</si>
  <si>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</si>
  <si>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</si>
  <si>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</si>
  <si>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</si>
  <si>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</si>
  <si>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</si>
  <si>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</si>
  <si>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</si>
  <si>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</si>
  <si>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</si>
  <si>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</si>
  <si>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</si>
  <si>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</si>
  <si>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</si>
  <si>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</si>
  <si>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</si>
  <si>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</si>
  <si>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</si>
  <si>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</si>
  <si>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</si>
  <si>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</si>
  <si>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</si>
  <si>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</si>
  <si>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</si>
  <si>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</si>
  <si>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</si>
  <si>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</si>
  <si>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</si>
  <si>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</si>
  <si>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</si>
  <si>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</si>
  <si>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</si>
  <si>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</si>
  <si>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</si>
  <si>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</si>
  <si>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</si>
  <si>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</si>
  <si>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</si>
  <si>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</si>
  <si>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</si>
  <si>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</si>
  <si>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</si>
  <si>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</si>
  <si>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</si>
  <si>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</si>
  <si>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</si>
  <si>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</si>
  <si>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</si>
  <si>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</si>
  <si>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</si>
  <si>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</si>
  <si>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</si>
  <si>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</si>
  <si>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</si>
  <si>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</si>
  <si>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</si>
  <si>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</si>
  <si>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</si>
  <si>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</si>
  <si>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</si>
  <si>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</si>
  <si>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</si>
  <si>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</si>
  <si>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</si>
  <si>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</si>
  <si>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</si>
  <si>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</si>
  <si>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</si>
  <si>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</si>
  <si>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</si>
  <si>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</si>
  <si>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</si>
  <si>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</si>
  <si>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</si>
  <si>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</si>
  <si>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</si>
  <si>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</si>
  <si>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</si>
  <si>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</si>
  <si>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</si>
  <si>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</si>
  <si>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</si>
  <si>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</si>
  <si>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</si>
  <si>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</si>
  <si>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</si>
  <si>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</si>
  <si>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</si>
  <si>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</si>
  <si>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</si>
  <si>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</si>
  <si>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</si>
  <si>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</si>
  <si>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</si>
  <si>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</si>
  <si>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</si>
  <si>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</si>
  <si>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</si>
  <si>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</si>
  <si>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</si>
  <si>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</si>
  <si>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</si>
  <si>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</si>
  <si>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</si>
  <si>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</si>
  <si>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</si>
  <si>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</si>
  <si>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</si>
  <si>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</si>
  <si>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</si>
  <si>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</si>
  <si>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</si>
  <si>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</si>
  <si>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</si>
  <si>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</si>
  <si>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</si>
  <si>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</si>
  <si>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</si>
  <si>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</si>
  <si>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</si>
  <si>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</si>
  <si>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</si>
  <si>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</si>
  <si>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</si>
  <si>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</si>
  <si>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</si>
  <si>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</si>
  <si>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</si>
  <si>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</si>
  <si>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</si>
  <si>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</si>
  <si>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</si>
  <si>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</si>
  <si>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</si>
  <si>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</si>
  <si>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</si>
  <si>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</si>
  <si>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</si>
  <si>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</si>
  <si>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</si>
  <si>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</si>
  <si>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</si>
  <si>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</si>
  <si>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</si>
  <si>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</si>
  <si>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</si>
  <si>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</si>
  <si>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</si>
  <si>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</si>
  <si>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</si>
  <si>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</si>
  <si>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</si>
  <si>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</si>
  <si>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</si>
  <si>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</si>
  <si>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</si>
  <si>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</si>
  <si>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</si>
  <si>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</si>
  <si>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</si>
  <si>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</si>
  <si>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</si>
  <si>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</si>
  <si>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</si>
  <si>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</si>
  <si>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</si>
  <si>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</si>
  <si>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</si>
  <si>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</si>
  <si>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</si>
  <si>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</si>
  <si>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</si>
  <si>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</si>
  <si>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</si>
  <si>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</si>
  <si>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</si>
  <si>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</si>
  <si>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</si>
  <si>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</si>
  <si>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</si>
  <si>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</si>
  <si>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</si>
  <si>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</si>
  <si>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</si>
  <si>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</si>
  <si>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</si>
  <si>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</si>
  <si>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</si>
  <si>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</si>
  <si>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</si>
  <si>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</si>
  <si>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</si>
  <si>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</si>
  <si>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</si>
  <si>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</si>
  <si>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</si>
  <si>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</si>
  <si>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</si>
  <si>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</si>
  <si>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</si>
  <si>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</si>
  <si>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</si>
  <si>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</si>
  <si>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</si>
  <si>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</si>
  <si>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</si>
  <si>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</si>
  <si>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</si>
  <si>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</si>
  <si>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</si>
  <si>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</si>
  <si>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</si>
  <si>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</si>
  <si>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</si>
  <si>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</si>
  <si>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</si>
  <si>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</si>
  <si>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</si>
  <si>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</si>
  <si>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</si>
  <si>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</si>
  <si>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</si>
  <si>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</si>
  <si>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</si>
  <si>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</si>
  <si>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</si>
  <si>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</si>
  <si>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</si>
  <si>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</si>
  <si>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</si>
  <si>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</si>
  <si>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</si>
  <si>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</si>
  <si>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</si>
  <si>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</si>
  <si>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</si>
  <si>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</si>
  <si>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</si>
  <si>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</si>
  <si>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</si>
  <si>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</si>
  <si>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</si>
  <si>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</si>
  <si>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</si>
  <si>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</si>
  <si>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</si>
  <si>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</si>
  <si>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</si>
  <si>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</si>
  <si>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</si>
  <si>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</si>
  <si>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</si>
  <si>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</si>
  <si>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</si>
  <si>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</si>
  <si>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</si>
  <si>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</si>
  <si>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</si>
  <si>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</si>
  <si>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</si>
  <si>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</si>
  <si>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</si>
  <si>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</si>
  <si>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</si>
  <si>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</si>
  <si>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</si>
  <si>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</si>
  <si>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</si>
  <si>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</si>
  <si>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</si>
  <si>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</si>
  <si>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</si>
  <si>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</si>
  <si>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</si>
  <si>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</si>
  <si>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</si>
  <si>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</si>
  <si>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</si>
  <si>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</si>
  <si>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</si>
  <si>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</si>
  <si>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</si>
  <si>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</si>
  <si>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</si>
  <si>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</si>
  <si>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</si>
  <si>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</si>
  <si>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</si>
  <si>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</si>
  <si>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</si>
  <si>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</si>
  <si>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</si>
  <si>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</si>
  <si>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</si>
  <si>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</si>
  <si>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</si>
  <si>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</si>
  <si>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</si>
  <si>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</si>
  <si>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</si>
  <si>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</si>
  <si>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</si>
  <si>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</si>
  <si>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</si>
  <si>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</si>
  <si>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</si>
  <si>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</si>
  <si>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</si>
  <si>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</si>
  <si>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</si>
  <si>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</si>
  <si>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</si>
  <si>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</si>
  <si>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</si>
  <si>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</si>
  <si>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</si>
  <si>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</si>
  <si>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</si>
  <si>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</si>
  <si>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</si>
  <si>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</si>
  <si>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</si>
  <si>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</si>
  <si>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</si>
  <si>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</si>
  <si>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</si>
  <si>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</si>
  <si>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</si>
  <si>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</si>
  <si>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</si>
  <si>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</si>
  <si>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</si>
  <si>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</si>
  <si>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</si>
  <si>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</si>
  <si>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</si>
  <si>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</si>
  <si>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</si>
  <si>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</si>
  <si>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</si>
  <si>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</si>
  <si>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</si>
  <si>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</si>
  <si>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</si>
  <si>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</si>
  <si>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</si>
  <si>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</si>
  <si>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</si>
  <si>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</si>
  <si>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</si>
  <si>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</si>
  <si>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</si>
  <si>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</si>
  <si>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</si>
  <si>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</si>
  <si>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</si>
  <si>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</si>
  <si>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</si>
  <si>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</si>
  <si>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</si>
  <si>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</si>
  <si>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</si>
  <si>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</si>
  <si>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</si>
  <si>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</si>
  <si>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</si>
  <si>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</si>
  <si>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</si>
  <si>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</si>
  <si>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</si>
  <si>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</si>
  <si>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</si>
  <si>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</si>
  <si>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</si>
  <si>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</si>
  <si>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</si>
  <si>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</si>
  <si>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</si>
  <si>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</si>
  <si>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</si>
  <si>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</si>
  <si>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</si>
  <si>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</si>
  <si>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</si>
  <si>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</si>
  <si>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</si>
  <si>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</si>
  <si>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</si>
  <si>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</si>
  <si>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</si>
  <si>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</si>
  <si>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</si>
  <si>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</si>
  <si>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</si>
  <si>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</si>
  <si>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</si>
  <si>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</si>
  <si>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</si>
  <si>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</si>
  <si>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</si>
  <si>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</si>
  <si>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</si>
  <si>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</si>
  <si>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</si>
  <si>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</si>
  <si>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</si>
  <si>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</si>
  <si>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</si>
  <si>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</si>
  <si>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</si>
  <si>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</si>
  <si>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</si>
  <si>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</si>
  <si>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</si>
  <si>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</si>
  <si>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</si>
  <si>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</si>
  <si>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</si>
  <si>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</si>
  <si>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</si>
  <si>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</si>
  <si>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</si>
  <si>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</si>
  <si>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</si>
  <si>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</si>
  <si>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</si>
  <si>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</si>
  <si>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</si>
  <si>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</si>
  <si>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</si>
  <si>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</si>
  <si>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</si>
  <si>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</si>
  <si>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</si>
  <si>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</si>
  <si>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</si>
  <si>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</si>
  <si>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</si>
  <si>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</si>
  <si>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</si>
  <si>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</si>
  <si>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</si>
  <si>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</si>
  <si>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</si>
  <si>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</si>
  <si>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</si>
  <si>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</si>
  <si>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</si>
  <si>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</si>
  <si>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</si>
  <si>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</si>
  <si>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</si>
  <si>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</si>
  <si>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</si>
  <si>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</si>
  <si>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</si>
  <si>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</si>
  <si>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</si>
  <si>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</si>
  <si>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</si>
  <si>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</si>
  <si>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</si>
  <si>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</si>
  <si>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</si>
  <si>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</si>
  <si>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</si>
  <si>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</si>
  <si>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</si>
  <si>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</si>
  <si>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</si>
  <si>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</si>
  <si>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</si>
  <si>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</si>
  <si>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</si>
  <si>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</si>
  <si>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</si>
  <si>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</si>
  <si>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</si>
  <si>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</si>
  <si>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</si>
  <si>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</si>
  <si>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</si>
  <si>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</si>
  <si>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</si>
  <si>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</si>
  <si>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</si>
  <si>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</si>
  <si>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</si>
  <si>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</si>
  <si>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</si>
  <si>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</si>
  <si>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</si>
  <si>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</si>
  <si>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</si>
  <si>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</si>
  <si>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</si>
  <si>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</si>
  <si>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</si>
  <si>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</si>
  <si>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</si>
  <si>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</si>
  <si>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</si>
  <si>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</si>
  <si>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</si>
  <si>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</si>
  <si>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</si>
  <si>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</si>
  <si>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</si>
  <si>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</si>
  <si>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</si>
  <si>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</si>
  <si>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</si>
  <si>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</si>
  <si>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</si>
  <si>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</si>
  <si>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</si>
  <si>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</si>
  <si>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</si>
  <si>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</si>
  <si>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</si>
  <si>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</si>
  <si>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</si>
  <si>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</si>
  <si>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</si>
  <si>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</si>
  <si>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</si>
  <si>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</si>
  <si>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</si>
  <si>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</si>
  <si>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</si>
  <si>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</si>
  <si>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</si>
  <si>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</si>
  <si>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</si>
  <si>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</si>
  <si>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</si>
  <si>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</si>
  <si>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</si>
  <si>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</si>
  <si>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</si>
  <si>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</si>
  <si>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</si>
  <si>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</si>
  <si>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</si>
  <si>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</si>
  <si>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</si>
  <si>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</si>
  <si>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</si>
  <si>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</si>
  <si>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</si>
  <si>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</si>
  <si>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</si>
  <si>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</si>
  <si>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</si>
  <si>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</si>
  <si>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</si>
  <si>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</si>
  <si>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</si>
  <si>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</si>
  <si>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</si>
  <si>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</si>
  <si>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</si>
  <si>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</si>
  <si>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</si>
  <si>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</si>
  <si>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</si>
  <si>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</si>
  <si>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</si>
  <si>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</si>
  <si>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</si>
  <si>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</si>
  <si>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</si>
  <si>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</si>
  <si>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</si>
  <si>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</si>
  <si>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</si>
  <si>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</si>
  <si>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</si>
  <si>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</si>
  <si>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</si>
  <si>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</si>
  <si>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</si>
  <si>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</si>
  <si>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</si>
  <si>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</si>
  <si>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</si>
  <si>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</si>
  <si>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</si>
  <si>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</si>
  <si>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</si>
  <si>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</si>
  <si>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</si>
  <si>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</si>
  <si>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</si>
  <si>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</si>
  <si>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</si>
  <si>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</si>
  <si>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</si>
  <si>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</si>
  <si>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</si>
  <si>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</si>
  <si>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</si>
  <si>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</si>
  <si>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</si>
  <si>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</si>
  <si>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</si>
  <si>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</si>
  <si>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</si>
  <si>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</si>
  <si>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</si>
  <si>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</si>
  <si>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</si>
  <si>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</si>
  <si>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</si>
  <si>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</si>
  <si>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</si>
  <si>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</si>
  <si>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</si>
  <si>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</si>
  <si>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</si>
  <si>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</si>
  <si>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</si>
  <si>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</si>
  <si>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</si>
  <si>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</si>
  <si>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</si>
  <si>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</si>
  <si>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</si>
  <si>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</si>
  <si>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</si>
  <si>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</si>
  <si>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</si>
  <si>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</si>
  <si>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</si>
  <si>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</si>
  <si>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</si>
  <si>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</si>
  <si>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</si>
  <si>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</si>
  <si>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</si>
  <si>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</si>
  <si>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</si>
  <si>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</si>
  <si>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</si>
  <si>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</si>
  <si>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</si>
  <si>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</si>
  <si>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</si>
  <si>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</si>
  <si>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</si>
  <si>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</si>
  <si>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</si>
  <si>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</si>
  <si>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</si>
  <si>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</si>
  <si>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</si>
  <si>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</si>
  <si>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</si>
  <si>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</si>
  <si>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</si>
  <si>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</si>
  <si>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</si>
  <si>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</si>
  <si>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</si>
  <si>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</si>
  <si>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</si>
  <si>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</si>
  <si>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</si>
  <si>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</si>
  <si>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</si>
  <si>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</si>
  <si>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</si>
  <si>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</si>
  <si>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</si>
  <si>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</si>
  <si>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</si>
  <si>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</si>
  <si>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</si>
  <si>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</si>
  <si>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</si>
  <si>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</si>
  <si>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</si>
  <si>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</si>
  <si>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</si>
  <si>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</si>
  <si>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</si>
  <si>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</si>
  <si>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</si>
  <si>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</si>
  <si>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</si>
  <si>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</si>
  <si>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</si>
  <si>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</si>
  <si>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</si>
  <si>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</si>
  <si>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</si>
  <si>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</si>
  <si>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</si>
  <si>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</si>
  <si>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</si>
  <si>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</si>
  <si>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</si>
  <si>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</si>
  <si>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</si>
  <si>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</si>
  <si>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</si>
  <si>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</si>
  <si>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</si>
  <si>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</si>
  <si>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</si>
  <si>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</si>
  <si>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</si>
  <si>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</si>
  <si>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</si>
  <si>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</si>
  <si>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</si>
  <si>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</si>
  <si>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</si>
  <si>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</si>
  <si>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</si>
  <si>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</si>
  <si>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</si>
  <si>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</si>
  <si>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</si>
  <si>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</si>
  <si>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</si>
  <si>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</si>
  <si>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</si>
  <si>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</si>
  <si>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</si>
  <si>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</si>
  <si>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</si>
  <si>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</si>
  <si>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</si>
  <si>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</si>
  <si>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</si>
  <si>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</si>
  <si>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</si>
  <si>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</si>
  <si>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</si>
  <si>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</si>
  <si>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</si>
  <si>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</si>
  <si>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</si>
  <si>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</si>
  <si>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</si>
  <si>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</si>
  <si>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</si>
  <si>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</si>
  <si>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</si>
  <si>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</si>
  <si>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</si>
  <si>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</si>
  <si>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</si>
  <si>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</si>
  <si>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</si>
  <si>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</si>
  <si>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</si>
  <si>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</si>
  <si>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</si>
  <si>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</si>
  <si>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</si>
  <si>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</si>
  <si>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</si>
  <si>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</si>
  <si>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</si>
  <si>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</si>
  <si>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</si>
  <si>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</si>
  <si>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</si>
  <si>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</si>
  <si>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</si>
  <si>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</si>
  <si>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</si>
  <si>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</si>
  <si>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</si>
  <si>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</si>
  <si>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</si>
  <si>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</si>
  <si>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</si>
  <si>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</si>
  <si>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</si>
  <si>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</si>
  <si>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</si>
  <si>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</si>
  <si>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</si>
  <si>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</si>
  <si>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</si>
  <si>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</si>
  <si>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</si>
  <si>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</si>
  <si>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</si>
  <si>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</si>
  <si>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</si>
  <si>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</si>
  <si>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</si>
  <si>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</si>
  <si>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</si>
  <si>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</si>
  <si>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</si>
  <si>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</si>
  <si>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</si>
  <si>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</si>
  <si>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</si>
  <si>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</si>
  <si>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</si>
  <si>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</si>
  <si>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</si>
  <si>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</si>
  <si>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</si>
  <si>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</si>
  <si>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</si>
  <si>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</si>
  <si>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</si>
  <si>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</si>
  <si>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</si>
  <si>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</si>
  <si>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</si>
  <si>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</si>
  <si>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</si>
  <si>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</si>
  <si>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</si>
  <si>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</si>
  <si>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</si>
  <si>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</si>
  <si>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</si>
  <si>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</si>
  <si>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</si>
  <si>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</si>
  <si>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</si>
  <si>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</si>
  <si>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</si>
  <si>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</si>
  <si>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</si>
  <si>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</si>
  <si>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</si>
  <si>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</si>
  <si>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</si>
  <si>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</si>
  <si>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</si>
  <si>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</si>
  <si>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</si>
  <si>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</si>
  <si>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</si>
  <si>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</si>
  <si>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</si>
  <si>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</si>
  <si>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</si>
  <si>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</si>
  <si>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</si>
  <si>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</si>
  <si>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</si>
  <si>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</si>
  <si>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</si>
  <si>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</si>
  <si>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</si>
  <si>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</si>
  <si>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</si>
  <si>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</si>
  <si>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</si>
  <si>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</si>
  <si>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</si>
  <si>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</si>
  <si>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</si>
  <si>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</si>
  <si>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</si>
  <si>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</si>
  <si>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</si>
  <si>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</si>
  <si>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</si>
  <si>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</si>
  <si>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</si>
  <si>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</si>
  <si>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</si>
  <si>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</si>
  <si>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</si>
  <si>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</si>
  <si>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</si>
  <si>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</si>
  <si>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</si>
  <si>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</si>
  <si>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</si>
  <si>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</si>
  <si>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</si>
  <si>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</si>
  <si>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</si>
  <si>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</si>
  <si>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</si>
  <si>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</si>
  <si>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</si>
  <si>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</si>
  <si>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</si>
  <si>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</si>
  <si>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</si>
  <si>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</si>
  <si>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</si>
  <si>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</si>
  <si>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</si>
  <si>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</si>
  <si>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</si>
  <si>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</si>
  <si>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</si>
  <si>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</si>
  <si>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</si>
  <si>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</si>
  <si>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</si>
  <si>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</si>
  <si>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</si>
  <si>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</si>
  <si>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</si>
  <si>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</si>
  <si>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</si>
  <si>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</si>
  <si>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</si>
  <si>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</si>
  <si>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</si>
  <si>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</si>
  <si>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</si>
  <si>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</si>
  <si>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</si>
  <si>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</si>
  <si>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</si>
  <si>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</si>
  <si>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</si>
  <si>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</si>
  <si>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</si>
  <si>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</si>
  <si>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</si>
  <si>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</si>
  <si>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</si>
  <si>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</si>
  <si>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</si>
  <si>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</si>
  <si>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</si>
  <si>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</si>
  <si>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</si>
  <si>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</si>
  <si>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</si>
  <si>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</si>
  <si>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</si>
  <si>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</si>
  <si>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</si>
  <si>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</si>
  <si>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</si>
  <si>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</si>
  <si>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</si>
  <si>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</si>
  <si>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</si>
  <si>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</si>
  <si>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</si>
  <si>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</si>
  <si>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</si>
  <si>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</si>
  <si>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</si>
  <si>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</si>
  <si>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</si>
  <si>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</si>
  <si>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</si>
  <si>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</si>
  <si>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</si>
  <si>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</si>
  <si>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</si>
  <si>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</si>
  <si>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</si>
  <si>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</si>
  <si>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</si>
  <si>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</si>
  <si>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</si>
  <si>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</si>
  <si>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</si>
  <si>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</si>
  <si>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</si>
  <si>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</si>
  <si>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</si>
  <si>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</si>
  <si>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</si>
  <si>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</si>
  <si>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</si>
  <si>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</si>
  <si>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</si>
  <si>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</si>
  <si>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</si>
  <si>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</si>
  <si>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</si>
  <si>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</si>
  <si>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</si>
  <si>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</si>
  <si>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</si>
  <si>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</si>
  <si>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</si>
  <si>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</si>
  <si>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</si>
  <si>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</si>
  <si>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</si>
  <si>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</si>
  <si>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</si>
  <si>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</si>
  <si>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</si>
  <si>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</si>
  <si>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</si>
  <si>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</si>
  <si>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</si>
  <si>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</si>
  <si>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</si>
  <si>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</si>
  <si>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</si>
  <si>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</si>
  <si>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</si>
  <si>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</si>
  <si>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</si>
  <si>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</si>
  <si>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</si>
  <si>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</si>
  <si>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</si>
  <si>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</si>
  <si>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</si>
  <si>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</si>
  <si>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</si>
  <si>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</si>
  <si>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</si>
  <si>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</si>
  <si>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</si>
  <si>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</si>
  <si>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</si>
  <si>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</si>
  <si>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</si>
  <si>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</si>
  <si>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</si>
  <si>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</si>
  <si>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</si>
  <si>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</si>
  <si>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</si>
  <si>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</si>
  <si>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</si>
  <si>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</si>
  <si>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</si>
  <si>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</si>
  <si>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</si>
  <si>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</si>
  <si>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</si>
  <si>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</si>
  <si>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</si>
  <si>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</si>
  <si>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</si>
  <si>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</si>
  <si>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</si>
  <si>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</si>
  <si>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</si>
  <si>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</si>
  <si>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</si>
  <si>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</si>
  <si>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</si>
  <si>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</si>
  <si>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</si>
  <si>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</si>
  <si>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</si>
  <si>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</si>
  <si>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</si>
  <si>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</si>
  <si>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</si>
  <si>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</si>
  <si>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</si>
  <si>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</si>
  <si>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</si>
  <si>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</si>
  <si>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</si>
  <si>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</si>
  <si>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</si>
  <si>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</si>
  <si>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</si>
  <si>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</si>
  <si>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</si>
  <si>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</si>
  <si>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</si>
  <si>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</si>
  <si>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</si>
  <si>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</si>
  <si>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</si>
  <si>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</si>
  <si>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</si>
  <si>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</si>
  <si>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</si>
  <si>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</si>
  <si>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</si>
  <si>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</si>
  <si>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</si>
  <si>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</si>
  <si>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</si>
  <si>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</si>
  <si>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</si>
  <si>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</si>
  <si>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</si>
  <si>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</si>
  <si>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</si>
  <si>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</si>
  <si>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</si>
  <si>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</si>
  <si>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</si>
  <si>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</si>
  <si>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</si>
  <si>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</si>
  <si>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</si>
  <si>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</si>
  <si>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</si>
  <si>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</si>
  <si>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</si>
  <si>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</si>
  <si>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</si>
  <si>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</si>
  <si>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</si>
  <si>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</si>
  <si>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</si>
  <si>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</si>
  <si>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</si>
  <si>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</si>
  <si>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</si>
  <si>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</si>
  <si>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</si>
  <si>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</si>
  <si>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</si>
  <si>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</si>
  <si>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</si>
  <si>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</si>
  <si>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</si>
  <si>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</si>
  <si>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</si>
  <si>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</si>
  <si>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</si>
  <si>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</si>
  <si>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</si>
  <si>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</si>
  <si>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</si>
  <si>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</si>
  <si>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</si>
  <si>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</si>
  <si>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</si>
  <si>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</si>
  <si>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</si>
  <si>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</si>
  <si>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</si>
  <si>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</si>
  <si>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</si>
  <si>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</si>
  <si>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</si>
  <si>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</si>
  <si>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</si>
  <si>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</si>
  <si>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</si>
  <si>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</si>
  <si>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</si>
  <si>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</si>
  <si>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</si>
  <si>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</si>
  <si>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</si>
  <si>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</si>
  <si>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</si>
  <si>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</si>
  <si>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</si>
  <si>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</si>
  <si>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</si>
  <si>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</si>
  <si>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</si>
  <si>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</si>
  <si>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</si>
  <si>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</si>
  <si>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</si>
  <si>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</si>
  <si>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</si>
  <si>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</si>
  <si>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</si>
  <si>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</si>
  <si>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</si>
  <si>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</si>
  <si>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</si>
  <si>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</si>
  <si>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</si>
  <si>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</si>
  <si>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</si>
  <si>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</si>
  <si>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</si>
  <si>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</si>
  <si>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</si>
  <si>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</si>
  <si>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</si>
  <si>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</si>
  <si>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</si>
  <si>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</si>
  <si>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</si>
  <si>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</si>
  <si>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</si>
  <si>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</si>
  <si>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</si>
  <si>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</si>
  <si>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</si>
  <si>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</si>
  <si>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</si>
  <si>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</si>
  <si>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</si>
  <si>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</si>
  <si>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</si>
  <si>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</si>
  <si>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</si>
  <si>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</si>
  <si>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</si>
  <si>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</si>
  <si>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</si>
  <si>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</si>
  <si>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</si>
  <si>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</si>
  <si>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</si>
  <si>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</si>
  <si>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</si>
  <si>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</si>
  <si>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</si>
  <si>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</si>
  <si>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</si>
  <si>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</si>
  <si>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</si>
  <si>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</si>
  <si>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</si>
  <si>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</si>
  <si>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</si>
  <si>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</si>
  <si>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</si>
  <si>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</si>
  <si>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</si>
  <si>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</si>
  <si>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</si>
  <si>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</si>
  <si>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</si>
  <si>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</si>
  <si>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</si>
  <si>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</si>
  <si>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</si>
  <si>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</si>
  <si>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</si>
  <si>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</si>
  <si>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</si>
  <si>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</si>
  <si>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</si>
  <si>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</si>
  <si>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</si>
  <si>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</si>
  <si>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</si>
  <si>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</si>
  <si>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</si>
  <si>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</si>
  <si>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</si>
  <si>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</si>
  <si>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</si>
  <si>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</si>
  <si>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</si>
  <si>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</si>
  <si>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</si>
  <si>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</si>
  <si>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</si>
  <si>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</si>
  <si>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</si>
  <si>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</si>
  <si>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</si>
  <si>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</si>
  <si>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</si>
  <si>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</si>
  <si>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</si>
  <si>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</si>
  <si>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</si>
  <si>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</si>
  <si>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</si>
  <si>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</si>
  <si>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</si>
  <si>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</si>
  <si>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</si>
  <si>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</si>
  <si>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</si>
  <si>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</si>
  <si>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</si>
  <si>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</si>
  <si>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</si>
  <si>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</si>
  <si>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</si>
  <si>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</si>
  <si>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</si>
  <si>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</si>
  <si>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</si>
  <si>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</si>
  <si>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</si>
  <si>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</si>
  <si>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</si>
  <si>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</si>
  <si>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</si>
  <si>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</si>
  <si>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</si>
  <si>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</si>
  <si>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</si>
  <si>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</si>
  <si>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</si>
  <si>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</si>
  <si>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</si>
  <si>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</si>
  <si>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</si>
  <si>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</si>
  <si>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</si>
  <si>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</si>
  <si>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</si>
  <si>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</si>
  <si>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</si>
  <si>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</si>
  <si>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</si>
  <si>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</si>
  <si>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</si>
  <si>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</si>
  <si>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</si>
  <si>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</si>
  <si>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</si>
  <si>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</si>
  <si>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</si>
  <si>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</si>
  <si>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</si>
  <si>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</si>
  <si>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</si>
  <si>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</si>
  <si>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</si>
  <si>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</si>
  <si>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</si>
  <si>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</si>
  <si>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</si>
  <si>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</si>
  <si>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</si>
  <si>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</si>
  <si>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</si>
  <si>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</si>
  <si>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</si>
  <si>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</si>
  <si>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</si>
  <si>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</si>
  <si>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</si>
  <si>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</si>
  <si>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</si>
  <si>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</si>
  <si>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</si>
  <si>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</si>
  <si>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</si>
  <si>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</si>
  <si>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</si>
  <si>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</si>
  <si>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</si>
  <si>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</si>
  <si>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</si>
  <si>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</si>
  <si>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</si>
  <si>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</si>
  <si>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</si>
  <si>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</si>
  <si>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</si>
  <si>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</si>
  <si>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</si>
  <si>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</si>
  <si>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</si>
  <si>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</si>
  <si>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</si>
  <si>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</si>
  <si>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</si>
  <si>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</si>
  <si>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</si>
  <si>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</si>
  <si>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</si>
  <si>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</si>
  <si>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</si>
  <si>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</si>
  <si>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</si>
  <si>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</si>
  <si>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</si>
  <si>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</si>
  <si>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</si>
  <si>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</si>
  <si>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</si>
  <si>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</si>
  <si>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</si>
  <si>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</si>
  <si>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</si>
  <si>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</si>
  <si>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</si>
  <si>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</si>
  <si>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</si>
  <si>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</si>
  <si>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</si>
  <si>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</si>
  <si>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</si>
  <si>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</si>
  <si>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</si>
  <si>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</si>
  <si>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</si>
  <si>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</si>
  <si>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</si>
  <si>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</si>
  <si>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</si>
  <si>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</si>
  <si>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</si>
  <si>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</si>
  <si>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</si>
  <si>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</si>
  <si>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</si>
  <si>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</si>
  <si>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</si>
  <si>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</si>
  <si>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</si>
  <si>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</si>
  <si>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</si>
  <si>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</si>
  <si>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</si>
  <si>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</si>
  <si>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</si>
  <si>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</si>
  <si>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</si>
  <si>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</si>
  <si>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</si>
  <si>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</si>
  <si>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</si>
  <si>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</si>
  <si>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</si>
  <si>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</si>
  <si>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</si>
  <si>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</si>
  <si>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</si>
  <si>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</si>
  <si>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</si>
  <si>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</si>
  <si>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</si>
  <si>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</si>
  <si>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</si>
  <si>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</si>
  <si>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</si>
  <si>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</si>
  <si>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</si>
  <si>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</si>
  <si>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</si>
  <si>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</si>
  <si>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</si>
  <si>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</si>
  <si>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</si>
  <si>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</si>
  <si>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</si>
  <si>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</si>
  <si>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</si>
  <si>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</si>
  <si>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</si>
  <si>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</si>
  <si>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</si>
  <si>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</si>
  <si>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</si>
  <si>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</si>
  <si>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</si>
  <si>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</si>
  <si>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</si>
  <si>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</si>
  <si>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</si>
  <si>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</si>
  <si>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</si>
  <si>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</si>
  <si>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</si>
  <si>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</si>
  <si>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</si>
  <si>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</si>
  <si>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</si>
  <si>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</si>
  <si>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</si>
  <si>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</si>
  <si>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</si>
  <si>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</si>
  <si>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</si>
  <si>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</si>
  <si>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</si>
  <si>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</si>
  <si>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</si>
  <si>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</si>
  <si>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</si>
  <si>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</si>
  <si>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</si>
  <si>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</si>
  <si>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</si>
  <si>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</si>
  <si>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</si>
  <si>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</si>
  <si>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</si>
  <si>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</si>
  <si>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</si>
  <si>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</si>
  <si>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</si>
  <si>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</si>
  <si>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</si>
  <si>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</si>
  <si>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</si>
  <si>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</si>
  <si>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</si>
  <si>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</si>
  <si>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</si>
  <si>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</si>
  <si>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</si>
  <si>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</si>
  <si>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</si>
  <si>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</si>
  <si>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</si>
  <si>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</si>
  <si>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</si>
  <si>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</si>
  <si>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</si>
  <si>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</si>
  <si>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</si>
  <si>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</si>
  <si>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</si>
  <si>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</si>
  <si>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</si>
  <si>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</si>
  <si>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</si>
  <si>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</si>
  <si>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</si>
  <si>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</si>
  <si>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</si>
  <si>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</si>
  <si>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</si>
  <si>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</si>
  <si>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</si>
  <si>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</si>
  <si>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</si>
  <si>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</si>
  <si>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</si>
  <si>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</si>
  <si>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</si>
  <si>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</si>
  <si>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</si>
  <si>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</si>
  <si>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</si>
  <si>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</si>
  <si>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</si>
  <si>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</si>
  <si>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</si>
  <si>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</si>
  <si>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</si>
  <si>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</si>
  <si>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</si>
  <si>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</si>
  <si>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</si>
  <si>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</si>
  <si>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</si>
  <si>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</si>
  <si>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</si>
  <si>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</si>
  <si>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</si>
  <si>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</si>
  <si>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</si>
  <si>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</si>
  <si>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</si>
  <si>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</si>
  <si>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</si>
  <si>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</si>
  <si>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</si>
  <si>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</si>
  <si>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</si>
  <si>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</si>
  <si>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</si>
  <si>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</si>
  <si>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</si>
  <si>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</si>
  <si>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</si>
  <si>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</si>
  <si>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</si>
  <si>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</si>
  <si>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</si>
  <si>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</si>
  <si>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</si>
  <si>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</si>
  <si>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</si>
  <si>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</si>
  <si>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</si>
  <si>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</si>
  <si>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</si>
  <si>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</si>
  <si>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</si>
  <si>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</si>
  <si>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</si>
  <si>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</si>
  <si>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</si>
  <si>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</si>
  <si>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</si>
  <si>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</si>
  <si>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</si>
  <si>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</si>
  <si>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</si>
  <si>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</si>
  <si>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</si>
  <si>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</si>
  <si>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</si>
  <si>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</si>
  <si>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</si>
  <si>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</si>
  <si>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</si>
  <si>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</si>
  <si>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</si>
  <si>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</si>
  <si>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</si>
  <si>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</si>
  <si>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</si>
  <si>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</si>
  <si>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</si>
  <si>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</si>
  <si>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</si>
  <si>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</si>
  <si>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</si>
  <si>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</si>
  <si>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</si>
  <si>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</si>
  <si>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</si>
  <si>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</si>
  <si>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</si>
  <si>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</si>
  <si>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</si>
  <si>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</si>
  <si>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</si>
  <si>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</si>
  <si>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</si>
  <si>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</si>
  <si>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</si>
  <si>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</si>
  <si>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</si>
  <si>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</si>
  <si>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</si>
  <si>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</si>
  <si>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</si>
  <si>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</si>
  <si>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</si>
  <si>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</si>
  <si>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</si>
  <si>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</si>
  <si>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</si>
  <si>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</si>
  <si>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</si>
  <si>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</si>
  <si>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</si>
  <si>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</si>
  <si>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</si>
  <si>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</si>
  <si>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</si>
  <si>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</si>
  <si>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</si>
  <si>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</si>
  <si>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</si>
  <si>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</si>
  <si>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</si>
  <si>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</si>
  <si>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</si>
  <si>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</si>
  <si>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</si>
  <si>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</si>
  <si>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</si>
  <si>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</si>
  <si>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</si>
  <si>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</si>
  <si>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</si>
  <si>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</si>
  <si>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</si>
  <si>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</si>
  <si>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</si>
  <si>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</si>
  <si>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</si>
  <si>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</si>
  <si>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</si>
  <si>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</si>
  <si>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</si>
  <si>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</si>
  <si>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</si>
  <si>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</si>
  <si>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</si>
  <si>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</si>
  <si>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</si>
  <si>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</si>
  <si>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</si>
  <si>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</si>
  <si>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</si>
  <si>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</si>
  <si>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</si>
  <si>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</si>
  <si>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</si>
  <si>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</si>
  <si>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</si>
  <si>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</si>
  <si>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</si>
  <si>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</si>
  <si>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</si>
  <si>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</si>
  <si>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</si>
  <si>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</si>
  <si>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</si>
  <si>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</si>
  <si>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</si>
  <si>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</si>
  <si>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</si>
  <si>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</si>
  <si>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</si>
  <si>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</si>
  <si>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</si>
  <si>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</si>
  <si>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</si>
  <si>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</si>
  <si>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</si>
  <si>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</si>
  <si>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</si>
  <si>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</si>
  <si>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</si>
  <si>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</si>
  <si>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</si>
  <si>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</si>
  <si>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</si>
  <si>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</si>
  <si>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</si>
  <si>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</si>
  <si>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</si>
  <si>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</si>
  <si>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</si>
  <si>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</si>
  <si>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</si>
  <si>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</si>
  <si>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</si>
  <si>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</si>
  <si>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</si>
  <si>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</si>
  <si>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</si>
  <si>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</si>
  <si>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</si>
  <si>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</si>
  <si>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</si>
  <si>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</si>
  <si>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</si>
  <si>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</si>
  <si>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</si>
  <si>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</si>
  <si>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</si>
  <si>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</si>
  <si>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</si>
  <si>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</si>
  <si>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</si>
  <si>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</si>
  <si>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</si>
  <si>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</si>
  <si>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</si>
  <si>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</si>
  <si>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</si>
  <si>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</si>
  <si>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</si>
  <si>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</si>
  <si>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</si>
  <si>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</si>
  <si>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</si>
  <si>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</si>
  <si>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</si>
  <si>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</si>
  <si>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</si>
  <si>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</si>
  <si>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</si>
  <si>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</si>
  <si>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</si>
  <si>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</si>
  <si>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</si>
  <si>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</si>
  <si>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</si>
  <si>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</si>
  <si>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</si>
  <si>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</si>
  <si>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</si>
  <si>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</si>
  <si>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</si>
  <si>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</si>
  <si>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</si>
  <si>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</si>
  <si>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</si>
  <si>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</si>
  <si>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</si>
  <si>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</si>
  <si>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</si>
  <si>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</si>
  <si>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</si>
  <si>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</si>
  <si>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</si>
  <si>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</si>
  <si>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</si>
  <si>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</si>
  <si>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</si>
  <si>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</si>
  <si>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</si>
  <si>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</si>
  <si>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</si>
  <si>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</si>
  <si>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</si>
  <si>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</si>
  <si>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</si>
  <si>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</si>
  <si>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</si>
  <si>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</si>
  <si>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</si>
  <si>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</si>
  <si>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</si>
  <si>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</si>
  <si>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</si>
  <si>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</si>
  <si>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</si>
  <si>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</si>
  <si>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</si>
  <si>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</si>
  <si>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</si>
  <si>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</si>
  <si>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</si>
  <si>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</si>
  <si>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</si>
  <si>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</si>
  <si>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</si>
  <si>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</si>
  <si>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</si>
  <si>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</si>
  <si>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</si>
  <si>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</si>
  <si>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</si>
  <si>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</si>
  <si>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</si>
  <si>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</si>
  <si>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</si>
  <si>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</si>
  <si>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</si>
  <si>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</si>
  <si>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</si>
  <si>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</si>
  <si>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</si>
  <si>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</si>
  <si>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</si>
  <si>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</si>
  <si>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</si>
  <si>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</si>
  <si>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</si>
  <si>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</si>
  <si>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</si>
  <si>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</si>
  <si>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</si>
  <si>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</si>
  <si>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</si>
  <si>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</si>
  <si>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</si>
  <si>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</si>
  <si>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</si>
  <si>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</si>
  <si>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</si>
  <si>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</si>
  <si>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</si>
  <si>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</si>
  <si>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</si>
  <si>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</si>
  <si>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</si>
  <si>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</si>
  <si>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</si>
  <si>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</si>
  <si>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</si>
  <si>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</si>
  <si>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</si>
  <si>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</si>
  <si>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</si>
  <si>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</si>
  <si>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</si>
  <si>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</si>
  <si>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</si>
  <si>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</si>
  <si>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</si>
  <si>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</si>
  <si>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</si>
  <si>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</si>
  <si>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</si>
  <si>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</si>
  <si>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</si>
  <si>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</si>
  <si>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</si>
  <si>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</si>
  <si>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</si>
  <si>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</si>
  <si>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</si>
  <si>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</si>
  <si>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</si>
  <si>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</si>
  <si>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</si>
  <si>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</si>
  <si>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</si>
  <si>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</si>
  <si>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</si>
  <si>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</si>
  <si>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</si>
  <si>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</si>
  <si>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</si>
  <si>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</si>
  <si>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</si>
  <si>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</si>
  <si>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</si>
  <si>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</si>
  <si>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</si>
  <si>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</si>
  <si>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</si>
  <si>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</si>
  <si>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</si>
  <si>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</si>
  <si>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</si>
  <si>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</si>
  <si>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</si>
  <si>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</si>
  <si>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</si>
  <si>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</si>
  <si>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</si>
  <si>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</si>
  <si>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</si>
  <si>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</si>
  <si>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</si>
  <si>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</si>
  <si>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</si>
  <si>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</si>
  <si>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</si>
  <si>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</si>
  <si>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</si>
  <si>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</si>
  <si>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</si>
  <si>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</si>
  <si>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</si>
  <si>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</si>
  <si>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</si>
  <si>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</si>
  <si>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</si>
  <si>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</si>
  <si>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</si>
  <si>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</si>
  <si>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</si>
  <si>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</si>
  <si>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</si>
  <si>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</si>
  <si>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</si>
  <si>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</si>
  <si>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</si>
  <si>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</si>
  <si>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</si>
  <si>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</si>
  <si>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</si>
  <si>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</si>
  <si>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</si>
  <si>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</si>
  <si>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</si>
  <si>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</si>
  <si>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</si>
  <si>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</si>
  <si>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</si>
  <si>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</si>
  <si>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</si>
  <si>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</si>
  <si>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</si>
  <si>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</si>
  <si>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</si>
  <si>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</si>
  <si>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</si>
  <si>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</si>
  <si>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</si>
  <si>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</si>
  <si>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</si>
  <si>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</si>
  <si>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</si>
  <si>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</si>
  <si>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</si>
  <si>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</si>
  <si>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</si>
  <si>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</si>
  <si>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</si>
  <si>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</si>
  <si>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</si>
  <si>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</si>
  <si>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</si>
  <si>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</si>
  <si>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</si>
  <si>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</si>
  <si>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</si>
  <si>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</si>
  <si>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</si>
  <si>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</si>
  <si>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</si>
  <si>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</si>
  <si>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</si>
  <si>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</si>
  <si>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</si>
  <si>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</si>
  <si>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</si>
  <si>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</si>
  <si>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</si>
  <si>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</si>
  <si>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</si>
  <si>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</si>
  <si>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</si>
  <si>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</si>
  <si>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</si>
  <si>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</si>
  <si>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</si>
  <si>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</si>
  <si>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</si>
  <si>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</si>
  <si>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</si>
  <si>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</si>
  <si>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</si>
  <si>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</si>
  <si>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</si>
  <si>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</si>
  <si>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</si>
  <si>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</si>
  <si>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</si>
  <si>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</si>
  <si>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</si>
  <si>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</si>
  <si>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</si>
  <si>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</si>
  <si>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</si>
  <si>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</si>
  <si>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</si>
  <si>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</si>
  <si>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</si>
  <si>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</si>
  <si>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</si>
  <si>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</si>
  <si>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</si>
  <si>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</si>
  <si>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</si>
  <si>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</si>
  <si>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</si>
  <si>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</si>
  <si>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</si>
  <si>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</si>
  <si>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</si>
  <si>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</si>
  <si>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</si>
  <si>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</si>
  <si>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</si>
  <si>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</si>
  <si>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</si>
  <si>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</si>
  <si>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</si>
  <si>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</si>
  <si>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</si>
  <si>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</si>
  <si>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</si>
  <si>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</si>
  <si>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</si>
  <si>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</si>
  <si>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</si>
  <si>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</si>
  <si>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</si>
  <si>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</si>
  <si>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</si>
  <si>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</si>
  <si>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</si>
  <si>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</si>
  <si>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</si>
  <si>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</si>
  <si>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</si>
  <si>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</si>
  <si>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</si>
  <si>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</si>
  <si>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</si>
  <si>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</si>
  <si>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</si>
  <si>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</si>
  <si>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</si>
  <si>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</si>
  <si>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</si>
  <si>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</si>
  <si>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</si>
  <si>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</si>
  <si>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</si>
  <si>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</si>
  <si>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</si>
  <si>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</si>
  <si>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</si>
  <si>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</si>
  <si>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</si>
  <si>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</si>
  <si>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</si>
  <si>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</si>
  <si>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</si>
  <si>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</si>
  <si>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</si>
  <si>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</si>
  <si>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</si>
  <si>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</si>
  <si>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</si>
  <si>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</si>
  <si>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</si>
  <si>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</si>
  <si>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</si>
  <si>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</si>
  <si>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</si>
  <si>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</si>
  <si>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</si>
  <si>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</si>
  <si>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</si>
  <si>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</si>
  <si>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</si>
  <si>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</si>
  <si>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</si>
  <si>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</si>
  <si>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</si>
  <si>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</si>
  <si>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</si>
  <si>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</si>
  <si>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</si>
  <si>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</si>
  <si>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</si>
  <si>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</si>
  <si>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</si>
  <si>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</si>
  <si>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</si>
  <si>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</si>
  <si>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</si>
  <si>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</si>
  <si>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</si>
  <si>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</si>
  <si>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</si>
  <si>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</si>
  <si>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</si>
  <si>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</si>
  <si>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</si>
  <si>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</si>
  <si>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</si>
  <si>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</si>
  <si>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</si>
  <si>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</si>
  <si>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</si>
  <si>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</si>
  <si>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</si>
  <si>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</si>
  <si>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</si>
  <si>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</si>
  <si>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</si>
  <si>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</si>
  <si>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</si>
  <si>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</si>
  <si>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</si>
  <si>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</si>
  <si>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</si>
  <si>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</si>
  <si>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</si>
  <si>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</si>
  <si>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</si>
  <si>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</si>
  <si>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</si>
  <si>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</si>
  <si>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</si>
  <si>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</si>
  <si>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</si>
  <si>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</si>
  <si>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</si>
  <si>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</si>
  <si>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</si>
  <si>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</si>
  <si>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</si>
  <si>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</si>
  <si>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</si>
  <si>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</si>
  <si>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</si>
  <si>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</si>
  <si>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</si>
  <si>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</si>
  <si>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</si>
  <si>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</si>
  <si>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</si>
  <si>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</si>
  <si>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</si>
  <si>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</si>
  <si>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</si>
  <si>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</si>
  <si>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</si>
  <si>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</si>
  <si>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</si>
  <si>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</si>
  <si>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</si>
  <si>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</si>
  <si>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</si>
  <si>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</si>
  <si>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</si>
  <si>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</si>
  <si>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</si>
  <si>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</si>
  <si>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</si>
  <si>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</si>
  <si>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</si>
  <si>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</si>
  <si>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</si>
  <si>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</si>
  <si>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</si>
  <si>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</si>
  <si>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</si>
  <si>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</si>
  <si>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</si>
  <si>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</si>
  <si>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</si>
  <si>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</si>
  <si>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</si>
  <si>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</si>
  <si>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</si>
  <si>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</si>
  <si>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</si>
  <si>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</si>
  <si>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</si>
  <si>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</si>
  <si>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</si>
  <si>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</si>
  <si>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</si>
  <si>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</si>
  <si>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</si>
  <si>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</si>
  <si>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</si>
  <si>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</si>
  <si>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</si>
  <si>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</si>
  <si>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</si>
  <si>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</si>
  <si>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</si>
  <si>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</si>
  <si>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</si>
  <si>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</si>
  <si>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</si>
  <si>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</si>
  <si>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</si>
  <si>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</si>
  <si>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</si>
  <si>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</si>
  <si>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</si>
  <si>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</si>
  <si>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</si>
  <si>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</si>
  <si>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</si>
  <si>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</si>
  <si>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</si>
  <si>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</si>
  <si>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</si>
  <si>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</si>
  <si>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</si>
  <si>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</si>
  <si>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</si>
  <si>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</si>
  <si>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</si>
  <si>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</si>
  <si>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</si>
  <si>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</si>
  <si>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</si>
  <si>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</si>
  <si>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</si>
  <si>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</si>
  <si>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</si>
  <si>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</si>
  <si>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</si>
  <si>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</si>
  <si>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</si>
  <si>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</si>
  <si>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</si>
  <si>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</si>
  <si>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</si>
  <si>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</si>
  <si>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</si>
  <si>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</si>
  <si>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</si>
  <si>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</si>
  <si>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</si>
  <si>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</si>
  <si>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</si>
  <si>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</si>
  <si>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</si>
  <si>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</si>
  <si>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</si>
  <si>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</si>
  <si>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</si>
  <si>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</si>
  <si>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</si>
  <si>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</si>
  <si>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</si>
  <si>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</si>
  <si>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</si>
  <si>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</si>
  <si>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</si>
  <si>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</si>
  <si>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</si>
  <si>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</si>
  <si>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</si>
  <si>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</si>
  <si>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</si>
  <si>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</si>
  <si>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</si>
  <si>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</si>
  <si>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</si>
  <si>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</si>
  <si>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</si>
  <si>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</si>
  <si>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</si>
  <si>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</si>
  <si>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</si>
  <si>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</si>
  <si>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</si>
  <si>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</si>
  <si>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</si>
  <si>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</si>
  <si>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</si>
  <si>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</si>
  <si>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</si>
  <si>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</si>
  <si>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</si>
  <si>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</si>
  <si>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</si>
  <si>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</si>
  <si>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</si>
  <si>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</si>
  <si>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</si>
  <si>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</si>
  <si>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</si>
  <si>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</si>
  <si>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</si>
  <si>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</si>
  <si>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</si>
  <si>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</si>
  <si>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</si>
  <si>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</si>
  <si>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</si>
  <si>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</si>
  <si>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</si>
  <si>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</si>
  <si>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</si>
  <si>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</si>
  <si>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</si>
  <si>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</si>
  <si>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</si>
  <si>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</si>
  <si>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</si>
  <si>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</si>
  <si>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</si>
  <si>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</si>
  <si>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</si>
  <si>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</si>
  <si>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</si>
  <si>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</si>
  <si>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</si>
  <si>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</si>
  <si>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</si>
  <si>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</si>
  <si>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</si>
  <si>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</si>
  <si>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</si>
  <si>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</si>
  <si>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</si>
  <si>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</si>
  <si>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</si>
  <si>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</si>
  <si>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</si>
  <si>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</si>
  <si>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</si>
  <si>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</si>
  <si>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</si>
  <si>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</si>
  <si>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</si>
  <si>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</si>
  <si>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</si>
  <si>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</si>
  <si>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</si>
  <si>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</si>
  <si>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</si>
  <si>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</si>
  <si>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</si>
  <si>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</si>
  <si>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</si>
  <si>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</si>
  <si>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</si>
  <si>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</si>
  <si>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</si>
  <si>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</si>
  <si>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</si>
  <si>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</si>
  <si>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</si>
  <si>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</si>
  <si>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</si>
  <si>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</si>
  <si>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</si>
  <si>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</si>
  <si>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</si>
  <si>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</si>
  <si>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</si>
  <si>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</si>
  <si>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</si>
  <si>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</si>
  <si>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</si>
  <si>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</si>
  <si>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</si>
  <si>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</si>
  <si>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</si>
  <si>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</si>
  <si>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</si>
  <si>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</si>
  <si>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</si>
  <si>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</si>
  <si>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</si>
  <si>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</si>
  <si>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</si>
  <si>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</si>
  <si>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</si>
  <si>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</si>
  <si>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</si>
  <si>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</si>
  <si>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</si>
  <si>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</si>
  <si>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</si>
  <si>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</si>
  <si>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</si>
  <si>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</si>
  <si>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</si>
  <si>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</si>
  <si>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</si>
  <si>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</si>
  <si>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</si>
  <si>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</si>
  <si>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</si>
  <si>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</si>
  <si>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</si>
  <si>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</si>
  <si>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</si>
  <si>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</si>
  <si>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</si>
  <si>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</si>
  <si>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</si>
  <si>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</si>
  <si>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</si>
  <si>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</si>
  <si>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</si>
  <si>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</si>
  <si>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</si>
  <si>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</si>
  <si>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</si>
  <si>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</si>
  <si>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</si>
  <si>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</si>
  <si>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</si>
  <si>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</si>
  <si>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</si>
  <si>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</si>
  <si>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</si>
  <si>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</si>
  <si>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</si>
  <si>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</si>
  <si>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</si>
  <si>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</si>
  <si>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</si>
  <si>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</si>
  <si>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</si>
  <si>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</si>
  <si>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</si>
  <si>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</si>
  <si>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</si>
  <si>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</si>
  <si>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</si>
  <si>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</si>
  <si>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</si>
  <si>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</si>
  <si>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</si>
  <si>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</si>
  <si>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</si>
  <si>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</si>
  <si>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</si>
  <si>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</si>
  <si>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</si>
  <si>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</si>
  <si>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</si>
  <si>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</si>
  <si>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</si>
  <si>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</si>
  <si>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</si>
  <si>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</si>
  <si>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</si>
  <si>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</si>
  <si>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</si>
  <si>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</si>
  <si>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</si>
  <si>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</si>
  <si>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</si>
  <si>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</si>
  <si>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</si>
  <si>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</si>
  <si>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</si>
  <si>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</si>
  <si>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</si>
  <si>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</si>
  <si>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</si>
  <si>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</si>
  <si>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</si>
  <si>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</si>
  <si>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</si>
  <si>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</si>
  <si>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</si>
  <si>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</si>
  <si>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</si>
  <si>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</si>
  <si>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</si>
  <si>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</si>
  <si>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</si>
  <si>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</si>
  <si>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</si>
  <si>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</si>
  <si>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</si>
  <si>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</si>
  <si>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</si>
  <si>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</si>
  <si>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</si>
  <si>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</si>
  <si>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</si>
  <si>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</si>
  <si>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</si>
  <si>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</si>
  <si>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</si>
  <si>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</si>
  <si>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</si>
  <si>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</si>
  <si>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</si>
  <si>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</si>
  <si>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</si>
  <si>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</si>
  <si>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</si>
  <si>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</si>
  <si>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</si>
  <si>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</si>
  <si>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</si>
  <si>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</si>
  <si>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</si>
  <si>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</si>
  <si>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</si>
  <si>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</si>
  <si>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</si>
  <si>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</si>
  <si>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</si>
  <si>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</si>
  <si>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</si>
  <si>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</si>
  <si>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</si>
  <si>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</si>
  <si>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</si>
  <si>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</si>
  <si>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</si>
  <si>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</si>
  <si>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</si>
  <si>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</si>
  <si>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</si>
  <si>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</si>
  <si>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</si>
  <si>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</si>
  <si>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</si>
  <si>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</si>
  <si>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</si>
  <si>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</si>
  <si>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</si>
  <si>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</si>
  <si>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</si>
  <si>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</si>
  <si>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</si>
  <si>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</si>
  <si>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</si>
  <si>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</si>
  <si>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</si>
  <si>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</si>
  <si>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</si>
  <si>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</si>
  <si>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</si>
  <si>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</si>
  <si>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</si>
  <si>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</si>
  <si>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</si>
  <si>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</si>
  <si>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</si>
  <si>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</si>
  <si>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</si>
  <si>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</si>
  <si>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</si>
  <si>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</si>
  <si>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</si>
  <si>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</si>
  <si>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</si>
  <si>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</si>
  <si>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</si>
  <si>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</si>
  <si>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</si>
  <si>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</si>
  <si>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</si>
  <si>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</si>
  <si>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</si>
  <si>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</si>
  <si>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</si>
  <si>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</si>
  <si>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</si>
  <si>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</si>
  <si>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</si>
  <si>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</si>
  <si>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</si>
  <si>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</si>
  <si>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</si>
  <si>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</si>
  <si>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</si>
  <si>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</si>
  <si>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</si>
  <si>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</si>
  <si>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</si>
  <si>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</si>
  <si>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</si>
  <si>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</si>
  <si>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</si>
  <si>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</si>
  <si>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</si>
  <si>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</si>
  <si>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</si>
  <si>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</si>
  <si>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</si>
  <si>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</si>
  <si>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</si>
  <si>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</si>
  <si>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</si>
  <si>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</si>
  <si>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</si>
  <si>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</si>
  <si>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</si>
  <si>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</si>
  <si>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</si>
  <si>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</si>
  <si>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</si>
  <si>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</si>
  <si>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</si>
  <si>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</si>
  <si>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</si>
  <si>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</si>
  <si>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</si>
  <si>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</si>
  <si>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</si>
  <si>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</si>
  <si>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</si>
  <si>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</si>
  <si>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</si>
  <si>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</si>
  <si>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</si>
  <si>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</si>
  <si>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</si>
  <si>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</si>
  <si>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</si>
  <si>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</si>
  <si>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</si>
  <si>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</si>
  <si>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</si>
  <si>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</si>
  <si>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</si>
  <si>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</si>
  <si>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</si>
  <si>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</si>
  <si>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</si>
  <si>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</si>
  <si>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</si>
  <si>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</si>
  <si>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</si>
  <si>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</si>
  <si>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</si>
  <si>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</si>
  <si>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</si>
  <si>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</si>
  <si>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</si>
  <si>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</si>
  <si>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</si>
  <si>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</si>
  <si>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</si>
  <si>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</si>
  <si>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</si>
  <si>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</si>
  <si>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</si>
  <si>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</si>
  <si>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</si>
  <si>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</si>
  <si>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</si>
  <si>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</si>
  <si>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</si>
  <si>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</si>
  <si>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</si>
  <si>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</si>
  <si>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</si>
  <si>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</si>
  <si>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</si>
  <si>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</si>
  <si>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</si>
  <si>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</si>
  <si>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</si>
  <si>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</si>
  <si>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</si>
  <si>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</si>
  <si>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</si>
  <si>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</si>
  <si>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</si>
  <si>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</si>
  <si>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</si>
  <si>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</si>
  <si>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</si>
  <si>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</si>
  <si>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</si>
  <si>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</si>
  <si>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</si>
  <si>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</si>
  <si>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</si>
  <si>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</si>
  <si>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</si>
  <si>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</si>
  <si>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</si>
  <si>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</si>
  <si>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</si>
  <si>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</si>
  <si>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</si>
  <si>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</si>
  <si>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</si>
  <si>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</si>
  <si>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</si>
  <si>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</si>
  <si>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</si>
  <si>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</si>
  <si>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</si>
  <si>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</si>
  <si>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</si>
  <si>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</si>
  <si>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</si>
  <si>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</si>
  <si>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</si>
  <si>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</si>
  <si>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</si>
  <si>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</si>
  <si>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</si>
  <si>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</si>
  <si>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</si>
  <si>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</si>
  <si>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</si>
  <si>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</si>
  <si>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</si>
  <si>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</si>
  <si>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</si>
  <si>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</si>
  <si>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</si>
  <si>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</si>
  <si>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</si>
  <si>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</si>
  <si>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</si>
  <si>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</si>
  <si>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</si>
  <si>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</si>
  <si>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</si>
  <si>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</si>
  <si>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</si>
  <si>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</si>
  <si>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</si>
  <si>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</si>
  <si>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</si>
  <si>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</si>
  <si>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</si>
  <si>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</si>
  <si>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</si>
  <si>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</si>
  <si>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</si>
  <si>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</si>
  <si>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</si>
  <si>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</si>
  <si>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</si>
  <si>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</si>
  <si>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</si>
  <si>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</si>
  <si>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</si>
  <si>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</si>
  <si>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</si>
  <si>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</si>
  <si>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</si>
  <si>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</si>
  <si>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</si>
  <si>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</si>
  <si>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</si>
  <si>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</si>
  <si>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</si>
  <si>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</si>
  <si>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</si>
  <si>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</si>
  <si>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</si>
  <si>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</si>
  <si>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</si>
  <si>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</si>
  <si>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</si>
  <si>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</si>
  <si>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</si>
  <si>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</si>
  <si>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</si>
  <si>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</si>
  <si>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</si>
  <si>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</si>
  <si>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</si>
  <si>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</si>
  <si>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</si>
  <si>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</si>
  <si>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</si>
  <si>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</si>
  <si>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</si>
  <si>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</si>
  <si>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</si>
  <si>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</si>
  <si>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</si>
  <si>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</si>
  <si>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</si>
  <si>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</si>
  <si>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</si>
  <si>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</si>
  <si>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</si>
  <si>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</si>
  <si>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</si>
  <si>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</si>
  <si>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</si>
  <si>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</si>
  <si>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</si>
  <si>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</si>
  <si>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</si>
  <si>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</si>
  <si>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</si>
  <si>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</si>
  <si>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</si>
  <si>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</si>
  <si>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</si>
  <si>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</si>
  <si>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</si>
  <si>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</si>
  <si>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</si>
  <si>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</si>
  <si>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</si>
  <si>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</si>
  <si>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</si>
  <si>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</si>
  <si>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</si>
  <si>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</si>
  <si>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</si>
  <si>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</si>
  <si>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</si>
  <si>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</si>
  <si>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</si>
  <si>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</si>
  <si>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</si>
  <si>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</si>
  <si>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</si>
  <si>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</si>
  <si>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</si>
  <si>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</si>
  <si>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</si>
  <si>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</si>
  <si>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</si>
  <si>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</si>
  <si>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</si>
  <si>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</si>
  <si>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</si>
  <si>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</si>
  <si>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</si>
  <si>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</si>
  <si>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</si>
  <si>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</si>
  <si>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</si>
  <si>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</si>
  <si>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</si>
  <si>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</si>
  <si>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</si>
  <si>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</si>
  <si>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</si>
  <si>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</si>
  <si>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</si>
  <si>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</si>
  <si>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</si>
  <si>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</si>
  <si>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</si>
  <si>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</si>
  <si>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</si>
  <si>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</si>
  <si>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</si>
  <si>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</si>
  <si>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</si>
  <si>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</si>
  <si>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</si>
  <si>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</si>
  <si>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</si>
  <si>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</si>
  <si>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</si>
  <si>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</si>
  <si>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</si>
  <si>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</si>
  <si>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</si>
  <si>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</si>
  <si>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</si>
  <si>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</si>
  <si>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</si>
  <si>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</si>
  <si>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</si>
  <si>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</si>
  <si>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</si>
  <si>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</si>
  <si>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</si>
  <si>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</si>
  <si>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</si>
  <si>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</si>
  <si>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</si>
  <si>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</si>
  <si>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</si>
  <si>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</si>
  <si>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</si>
  <si>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</si>
  <si>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</si>
  <si>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</si>
  <si>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</si>
  <si>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</si>
  <si>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</si>
  <si>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</si>
  <si>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</si>
  <si>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</si>
  <si>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</si>
  <si>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</si>
  <si>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</si>
  <si>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</si>
  <si>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</si>
  <si>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</si>
  <si>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</si>
  <si>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</si>
  <si>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</si>
  <si>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</si>
  <si>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</si>
  <si>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</si>
  <si>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</si>
  <si>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</si>
  <si>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</si>
  <si>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</si>
  <si>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</si>
  <si>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</si>
  <si>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</si>
  <si>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</si>
  <si>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</si>
  <si>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</si>
  <si>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</si>
  <si>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</si>
  <si>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</si>
  <si>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</si>
  <si>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</si>
  <si>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</si>
  <si>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</si>
  <si>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</si>
  <si>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</si>
  <si>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</si>
  <si>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</si>
  <si>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</si>
  <si>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</si>
  <si>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</si>
  <si>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</si>
  <si>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</si>
  <si>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</si>
  <si>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</si>
  <si>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</si>
  <si>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</si>
  <si>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</si>
  <si>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</si>
  <si>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</si>
  <si>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</si>
  <si>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</si>
  <si>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</si>
  <si>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</si>
  <si>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</si>
  <si>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</si>
  <si>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</si>
  <si>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</si>
  <si>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</si>
  <si>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</si>
  <si>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</si>
  <si>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</si>
  <si>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</si>
  <si>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</si>
  <si>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</si>
  <si>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</si>
  <si>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</si>
  <si>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</si>
  <si>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</si>
  <si>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</si>
  <si>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</si>
  <si>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</si>
  <si>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</si>
  <si>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</si>
  <si>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</si>
  <si>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</si>
  <si>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</si>
  <si>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</si>
  <si>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</si>
  <si>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</si>
  <si>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</si>
  <si>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</si>
  <si>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</si>
  <si>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</si>
  <si>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</si>
  <si>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</si>
  <si>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</si>
  <si>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</si>
  <si>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</si>
  <si>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</si>
  <si>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</si>
  <si>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</si>
  <si>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</si>
  <si>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</si>
  <si>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</si>
  <si>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</si>
  <si>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</si>
  <si>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</si>
  <si>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</si>
  <si>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</si>
  <si>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</si>
  <si>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</si>
  <si>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</si>
  <si>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</si>
  <si>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</si>
  <si>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</si>
  <si>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</si>
  <si>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</si>
  <si>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</si>
  <si>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</si>
  <si>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</si>
  <si>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</si>
  <si>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</si>
  <si>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</si>
  <si>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</si>
  <si>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</si>
  <si>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</si>
  <si>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</si>
  <si>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</si>
  <si>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</si>
  <si>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</si>
  <si>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</si>
  <si>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</si>
  <si>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</si>
  <si>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</si>
  <si>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</si>
  <si>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</si>
  <si>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</si>
  <si>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</si>
  <si>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</si>
  <si>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</si>
  <si>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</si>
  <si>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</si>
  <si>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</si>
  <si>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</si>
  <si>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</si>
  <si>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</si>
  <si>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</si>
  <si>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</si>
  <si>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</si>
  <si>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</si>
  <si>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</si>
  <si>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</si>
  <si>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</si>
  <si>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</si>
  <si>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</si>
  <si>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</si>
  <si>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</si>
  <si>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</si>
  <si>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</si>
  <si>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</si>
  <si>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</si>
  <si>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</si>
  <si>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</si>
  <si>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</si>
  <si>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</si>
  <si>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</si>
  <si>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</si>
  <si>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</si>
  <si>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</si>
  <si>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</si>
  <si>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</si>
  <si>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</si>
  <si>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</si>
  <si>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</si>
  <si>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</si>
  <si>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</si>
  <si>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</si>
  <si>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</si>
  <si>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</si>
  <si>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</si>
  <si>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</si>
  <si>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</si>
  <si>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</si>
  <si>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</si>
  <si>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</si>
  <si>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</si>
  <si>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</si>
  <si>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</si>
  <si>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</si>
  <si>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</si>
  <si>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</si>
  <si>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</si>
  <si>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</si>
  <si>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</si>
  <si>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</si>
  <si>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</si>
  <si>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</si>
  <si>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</si>
  <si>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</si>
  <si>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</si>
  <si>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</si>
  <si>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</si>
  <si>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</si>
  <si>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</si>
  <si>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</si>
  <si>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</si>
  <si>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</si>
  <si>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</si>
  <si>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</si>
  <si>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</si>
  <si>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</si>
  <si>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</si>
  <si>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</si>
  <si>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</si>
  <si>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</si>
  <si>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</si>
  <si>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</si>
  <si>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</si>
  <si>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</si>
  <si>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</si>
  <si>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</si>
  <si>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</si>
  <si>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</si>
  <si>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</si>
  <si>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</si>
  <si>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</si>
  <si>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</si>
  <si>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</si>
  <si>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</si>
  <si>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</si>
  <si>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</si>
  <si>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</si>
  <si>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</si>
  <si>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</si>
  <si>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</si>
  <si>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</si>
  <si>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</si>
  <si>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</si>
  <si>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</si>
  <si>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</si>
  <si>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</si>
  <si>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</si>
  <si>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</si>
  <si>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</si>
  <si>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</si>
  <si>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</si>
  <si>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</si>
  <si>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</si>
  <si>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</si>
  <si>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</si>
  <si>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</si>
  <si>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</si>
  <si>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</si>
  <si>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</si>
  <si>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</si>
  <si>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</si>
  <si>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</si>
  <si>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</si>
  <si>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</si>
  <si>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</si>
  <si>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</si>
  <si>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</si>
  <si>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</si>
  <si>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</si>
  <si>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</si>
  <si>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</si>
  <si>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</si>
  <si>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</si>
  <si>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</si>
  <si>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</si>
  <si>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</si>
  <si>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</si>
  <si>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</si>
  <si>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</si>
  <si>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</si>
  <si>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</si>
  <si>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</si>
  <si>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</si>
  <si>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</si>
  <si>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</si>
  <si>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</si>
  <si>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</si>
  <si>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</si>
  <si>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</si>
  <si>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</si>
  <si>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</si>
  <si>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</si>
  <si>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</si>
  <si>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</si>
  <si>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</si>
  <si>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</si>
  <si>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</si>
  <si>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</si>
  <si>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</si>
  <si>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</si>
  <si>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</si>
  <si>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</si>
  <si>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</si>
  <si>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</si>
  <si>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</si>
  <si>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</si>
  <si>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</si>
  <si>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</si>
  <si>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</si>
  <si>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</si>
  <si>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</si>
  <si>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</si>
  <si>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</si>
  <si>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</si>
  <si>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</si>
  <si>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</si>
  <si>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</si>
  <si>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</si>
  <si>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</si>
  <si>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</si>
  <si>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</si>
  <si>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</si>
  <si>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</si>
  <si>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</si>
  <si>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</si>
  <si>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</si>
  <si>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</si>
  <si>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</si>
  <si>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</si>
  <si>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</si>
  <si>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</si>
  <si>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</si>
  <si>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</si>
  <si>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</si>
  <si>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</si>
  <si>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</si>
  <si>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</si>
  <si>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</si>
  <si>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</si>
  <si>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</si>
  <si>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</si>
  <si>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</si>
  <si>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</si>
  <si>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</si>
  <si>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</si>
  <si>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</si>
  <si>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</si>
  <si>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</si>
  <si>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</si>
  <si>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</si>
  <si>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</si>
  <si>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</si>
  <si>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</si>
  <si>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</si>
  <si>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</si>
  <si>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</si>
  <si>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</si>
  <si>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</si>
  <si>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</si>
  <si>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</si>
  <si>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</si>
  <si>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</si>
  <si>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</si>
  <si>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</si>
  <si>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</si>
  <si>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</si>
  <si>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</si>
  <si>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</si>
  <si>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</si>
  <si>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</si>
  <si>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</si>
  <si>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</si>
  <si>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</si>
  <si>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</si>
  <si>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</si>
  <si>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</si>
  <si>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</si>
  <si>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</si>
  <si>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</si>
  <si>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</si>
  <si>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</si>
  <si>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</si>
  <si>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</si>
  <si>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</si>
  <si>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</si>
  <si>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</si>
  <si>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</si>
  <si>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</si>
  <si>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</si>
  <si>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</si>
  <si>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</si>
  <si>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</si>
  <si>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</si>
  <si>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</si>
  <si>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</si>
  <si>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</si>
  <si>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</si>
  <si>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</si>
  <si>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</si>
  <si>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</si>
  <si>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</si>
  <si>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</si>
  <si>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</si>
  <si>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</si>
  <si>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</si>
  <si>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</si>
  <si>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</si>
  <si>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</si>
  <si>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</si>
  <si>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</si>
  <si>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</si>
  <si>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</si>
  <si>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</si>
  <si>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</si>
  <si>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</si>
  <si>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</si>
  <si>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</si>
  <si>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</si>
  <si>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</si>
  <si>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</si>
  <si>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</si>
  <si>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</si>
  <si>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</si>
  <si>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</si>
  <si>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</si>
  <si>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</si>
  <si>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</si>
  <si>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</si>
  <si>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</si>
  <si>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</si>
  <si>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</si>
  <si>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</si>
  <si>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</si>
  <si>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</si>
  <si>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</si>
  <si>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</si>
  <si>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</si>
  <si>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</si>
  <si>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</si>
  <si>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</si>
  <si>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</si>
  <si>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</si>
  <si>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</si>
  <si>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</si>
  <si>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</si>
  <si>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</si>
  <si>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</si>
  <si>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</si>
  <si>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</si>
  <si>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</si>
  <si>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</si>
  <si>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</si>
  <si>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</si>
  <si>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</si>
  <si>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</si>
  <si>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</si>
  <si>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</si>
  <si>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</si>
  <si>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</si>
  <si>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</si>
  <si>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</si>
  <si>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</si>
  <si>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</si>
  <si>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</si>
  <si>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</si>
  <si>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</si>
  <si>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</si>
  <si>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</si>
  <si>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</si>
  <si>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</si>
  <si>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</si>
  <si>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</si>
  <si>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</si>
  <si>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</si>
  <si>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</si>
  <si>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</si>
  <si>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</si>
  <si>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</si>
  <si>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</si>
  <si>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</si>
  <si>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</si>
  <si>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</si>
  <si>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</si>
  <si>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</si>
  <si>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</si>
  <si>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</si>
  <si>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</si>
  <si>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</si>
  <si>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</si>
  <si>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</si>
  <si>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</si>
  <si>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</si>
  <si>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</si>
  <si>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</si>
  <si>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</si>
  <si>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</si>
  <si>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</si>
  <si>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</si>
  <si>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</si>
  <si>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</si>
  <si>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</si>
  <si>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</si>
  <si>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</si>
  <si>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</si>
  <si>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</si>
  <si>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</si>
  <si>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</si>
  <si>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</si>
  <si>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</si>
  <si>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</si>
  <si>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</si>
  <si>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</si>
  <si>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</si>
  <si>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</si>
  <si>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</si>
  <si>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</si>
  <si>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</si>
  <si>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</si>
  <si>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</si>
  <si>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</si>
  <si>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</si>
  <si>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</si>
  <si>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</si>
  <si>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</si>
  <si>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</si>
  <si>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</si>
  <si>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</si>
  <si>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</si>
  <si>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</si>
  <si>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</si>
  <si>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</si>
  <si>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</si>
  <si>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</si>
  <si>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</si>
  <si>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</si>
  <si>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</si>
  <si>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</si>
  <si>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</si>
  <si>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</si>
  <si>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</si>
  <si>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</si>
  <si>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</si>
  <si>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</si>
  <si>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</si>
  <si>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</si>
  <si>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</si>
  <si>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</si>
  <si>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</si>
  <si>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</si>
  <si>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</si>
  <si>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</si>
  <si>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</si>
  <si>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</si>
  <si>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</si>
  <si>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</si>
  <si>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</si>
  <si>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</si>
  <si>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</si>
  <si>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</si>
  <si>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</si>
  <si>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</si>
  <si>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</si>
  <si>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</si>
  <si>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</si>
  <si>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</si>
  <si>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</si>
  <si>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</si>
  <si>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</si>
  <si>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</si>
  <si>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</si>
  <si>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</si>
  <si>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</si>
  <si>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</si>
  <si>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</si>
  <si>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</si>
  <si>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</si>
  <si>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</si>
  <si>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</si>
  <si>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</si>
  <si>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</si>
  <si>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</si>
  <si>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</si>
  <si>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</si>
  <si>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</si>
  <si>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</si>
  <si>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</si>
  <si>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</si>
  <si>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</si>
  <si>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</si>
  <si>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</si>
  <si>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</si>
  <si>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</si>
  <si>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</si>
  <si>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</si>
  <si>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</si>
  <si>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سود غدیر</t>
  </si>
  <si>
    <t>سهم رضا</t>
  </si>
  <si>
    <t>سهم خالص مریم</t>
  </si>
  <si>
    <t>سهم خالص علی</t>
  </si>
  <si>
    <t>سهم حاج خانوم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</si>
  <si>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</si>
  <si>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</si>
  <si>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</si>
  <si>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</si>
  <si>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پردیس 112</t>
  </si>
  <si>
    <t>وتوسم 145</t>
  </si>
  <si>
    <t>وبانک 310</t>
  </si>
  <si>
    <t>بکهنوج 620</t>
  </si>
  <si>
    <t>وغدیر 165</t>
  </si>
  <si>
    <t>پارس 3300 شخارک  4100</t>
  </si>
  <si>
    <t>زاگرس 5250 چون برج 2 مجمع دارد</t>
  </si>
  <si>
    <t>شسپا 2800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</si>
  <si>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</si>
  <si>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</si>
  <si>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</si>
  <si>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</si>
  <si>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</si>
  <si>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</si>
  <si>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</si>
  <si>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</si>
  <si>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</si>
  <si>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</si>
  <si>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</si>
  <si>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</si>
  <si>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بدهی به مهدی 26/12/97</t>
  </si>
  <si>
    <t>بدهی به داریوش 26/12</t>
  </si>
  <si>
    <t>طلب از حاج ایوب 26/12</t>
  </si>
  <si>
    <t>سود وغدیر حساب مریم</t>
  </si>
  <si>
    <t>سود وغدیر حساب سارا</t>
  </si>
  <si>
    <t>بزاگرس</t>
  </si>
  <si>
    <t>بزاگرس 449 تا 150</t>
  </si>
  <si>
    <t>پردیس 888 تا 113.6</t>
  </si>
  <si>
    <t>پارس 629 تا 3400.3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</si>
</sst>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topLeftCell="A4" workbookViewId="0">
      <selection activeCell="E72" sqref="E7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4914</v>
      </c>
      <c r="B20" s="18">
        <v>400000</v>
      </c>
      <c r="C20" s="18">
        <v>0</v>
      </c>
      <c r="D20" s="113">
        <f t="shared" si="0"/>
        <v>400000</v>
      </c>
      <c r="E20" s="19" t="s">
        <v>4924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4926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4926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4926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4936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4936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4937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4937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470675</v>
      </c>
      <c r="C32" s="113">
        <f>SUM(C2:C31)</f>
        <v>0</v>
      </c>
      <c r="D32" s="113">
        <f>SUM(D2:D31)</f>
        <v>470675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25802478</v>
      </c>
      <c r="H33" s="18">
        <f>SUM(H2:H31)</f>
        <v>0</v>
      </c>
      <c r="I33" s="18">
        <f>SUM(I2:I31)</f>
        <v>25802478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-400000</v>
      </c>
      <c r="E68" s="122" t="s">
        <v>4925</v>
      </c>
      <c r="G68" t="s">
        <v>25</v>
      </c>
    </row>
    <row r="69" spans="1:22">
      <c r="D69" s="18">
        <v>463200</v>
      </c>
      <c r="E69" s="122" t="s">
        <v>4935</v>
      </c>
    </row>
    <row r="70" spans="1:22">
      <c r="D70" s="18">
        <v>2000000</v>
      </c>
      <c r="E70" s="96" t="s">
        <v>4938</v>
      </c>
    </row>
    <row r="71" spans="1:22">
      <c r="D71" s="18">
        <v>-280000</v>
      </c>
      <c r="E71" t="s">
        <v>4943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1987080</v>
      </c>
      <c r="E74" s="96" t="s">
        <v>6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3" activePane="bottomLeft" state="frozen"/>
      <selection pane="bottomLeft" activeCell="F341" sqref="F341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1071</v>
      </c>
      <c r="H2" s="36">
        <f>IF(B2&gt;0,1,0)</f>
        <v>1</v>
      </c>
      <c r="I2" s="11">
        <f>B2*(G2-H2)</f>
        <v>17869000</v>
      </c>
      <c r="J2" s="53">
        <f>C2*(G2-H2)</f>
        <v>17869000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1070</v>
      </c>
      <c r="H3" s="36">
        <f t="shared" ref="H3:H66" si="2">IF(B3&gt;0,1,0)</f>
        <v>1</v>
      </c>
      <c r="I3" s="11">
        <f t="shared" ref="I3:I66" si="3">B3*(G3-H3)</f>
        <v>21273100000</v>
      </c>
      <c r="J3" s="53">
        <f t="shared" ref="J3:J66" si="4">C3*(G3-H3)</f>
        <v>12172703000</v>
      </c>
      <c r="K3" s="53">
        <f t="shared" ref="K3:K66" si="5">D3*(G3-H3)</f>
        <v>9100397000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1070</v>
      </c>
      <c r="H4" s="36">
        <f t="shared" si="2"/>
        <v>0</v>
      </c>
      <c r="I4" s="11">
        <f t="shared" si="3"/>
        <v>0</v>
      </c>
      <c r="J4" s="53">
        <f t="shared" si="4"/>
        <v>9095000</v>
      </c>
      <c r="K4" s="53">
        <f t="shared" si="5"/>
        <v>-9095000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1068</v>
      </c>
      <c r="H5" s="36">
        <f t="shared" si="2"/>
        <v>1</v>
      </c>
      <c r="I5" s="11">
        <f t="shared" si="3"/>
        <v>2134000000</v>
      </c>
      <c r="J5" s="53">
        <f t="shared" si="4"/>
        <v>0</v>
      </c>
      <c r="K5" s="53">
        <f t="shared" si="5"/>
        <v>2134000000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1061</v>
      </c>
      <c r="H6" s="36">
        <f t="shared" si="2"/>
        <v>0</v>
      </c>
      <c r="I6" s="11">
        <f t="shared" si="3"/>
        <v>-5305000</v>
      </c>
      <c r="J6" s="53">
        <f t="shared" si="4"/>
        <v>0</v>
      </c>
      <c r="K6" s="53">
        <f t="shared" si="5"/>
        <v>-5305000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1057</v>
      </c>
      <c r="H7" s="36">
        <f t="shared" si="2"/>
        <v>0</v>
      </c>
      <c r="I7" s="11">
        <f t="shared" si="3"/>
        <v>-1268928500</v>
      </c>
      <c r="J7" s="53">
        <f t="shared" si="4"/>
        <v>0</v>
      </c>
      <c r="K7" s="53">
        <f t="shared" si="5"/>
        <v>-1268928500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1056</v>
      </c>
      <c r="H8" s="36">
        <f t="shared" si="2"/>
        <v>0</v>
      </c>
      <c r="I8" s="11">
        <f t="shared" si="3"/>
        <v>-211200000</v>
      </c>
      <c r="J8" s="53">
        <f t="shared" si="4"/>
        <v>0</v>
      </c>
      <c r="K8" s="53">
        <f t="shared" si="5"/>
        <v>-211200000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1054</v>
      </c>
      <c r="H9" s="36">
        <f t="shared" si="2"/>
        <v>0</v>
      </c>
      <c r="I9" s="11">
        <f t="shared" si="3"/>
        <v>-743597000</v>
      </c>
      <c r="J9" s="53">
        <f t="shared" si="4"/>
        <v>0</v>
      </c>
      <c r="K9" s="53">
        <f t="shared" si="5"/>
        <v>-743597000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1045</v>
      </c>
      <c r="H10" s="36">
        <f t="shared" si="2"/>
        <v>0</v>
      </c>
      <c r="I10" s="11">
        <f t="shared" si="3"/>
        <v>-209000000</v>
      </c>
      <c r="J10" s="53">
        <f t="shared" si="4"/>
        <v>0</v>
      </c>
      <c r="K10" s="53">
        <f t="shared" si="5"/>
        <v>-209000000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1045</v>
      </c>
      <c r="H11" s="36">
        <f t="shared" si="2"/>
        <v>1</v>
      </c>
      <c r="I11" s="11">
        <f t="shared" si="3"/>
        <v>1044000000</v>
      </c>
      <c r="J11" s="53">
        <f t="shared" si="4"/>
        <v>0</v>
      </c>
      <c r="K11" s="53">
        <f t="shared" si="5"/>
        <v>1044000000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1041</v>
      </c>
      <c r="H12" s="36">
        <f t="shared" si="2"/>
        <v>0</v>
      </c>
      <c r="I12" s="11">
        <f t="shared" si="3"/>
        <v>-312300000</v>
      </c>
      <c r="J12" s="53">
        <f t="shared" si="4"/>
        <v>0</v>
      </c>
      <c r="K12" s="53">
        <f t="shared" si="5"/>
        <v>-312300000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1036</v>
      </c>
      <c r="H13" s="36">
        <f t="shared" si="2"/>
        <v>0</v>
      </c>
      <c r="I13" s="11">
        <f t="shared" si="3"/>
        <v>-64232000</v>
      </c>
      <c r="J13" s="53">
        <f t="shared" si="4"/>
        <v>0</v>
      </c>
      <c r="K13" s="53">
        <f t="shared" si="5"/>
        <v>-64232000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1036</v>
      </c>
      <c r="H14" s="36">
        <f t="shared" si="2"/>
        <v>1</v>
      </c>
      <c r="I14" s="11">
        <f t="shared" si="3"/>
        <v>2070000000</v>
      </c>
      <c r="J14" s="53">
        <f t="shared" si="4"/>
        <v>0</v>
      </c>
      <c r="K14" s="53">
        <f t="shared" si="5"/>
        <v>2070000000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1035</v>
      </c>
      <c r="H15" s="36">
        <f t="shared" si="2"/>
        <v>1</v>
      </c>
      <c r="I15" s="11">
        <f t="shared" si="3"/>
        <v>1861200000</v>
      </c>
      <c r="J15" s="53">
        <f t="shared" si="4"/>
        <v>0</v>
      </c>
      <c r="K15" s="53">
        <f t="shared" si="5"/>
        <v>1861200000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1035</v>
      </c>
      <c r="H16" s="36">
        <f t="shared" si="2"/>
        <v>0</v>
      </c>
      <c r="I16" s="11">
        <f t="shared" si="3"/>
        <v>-207000000</v>
      </c>
      <c r="J16" s="53">
        <f t="shared" si="4"/>
        <v>0</v>
      </c>
      <c r="K16" s="53">
        <f t="shared" si="5"/>
        <v>-207000000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1031</v>
      </c>
      <c r="H17" s="36">
        <f t="shared" si="2"/>
        <v>0</v>
      </c>
      <c r="I17" s="11">
        <f t="shared" si="3"/>
        <v>-2062000000</v>
      </c>
      <c r="J17" s="53">
        <f t="shared" si="4"/>
        <v>0</v>
      </c>
      <c r="K17" s="53">
        <f t="shared" si="5"/>
        <v>-2062000000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1030</v>
      </c>
      <c r="H18" s="36">
        <f t="shared" si="2"/>
        <v>0</v>
      </c>
      <c r="I18" s="11">
        <f t="shared" si="3"/>
        <v>-309000000</v>
      </c>
      <c r="J18" s="53">
        <f t="shared" si="4"/>
        <v>0</v>
      </c>
      <c r="K18" s="53">
        <f t="shared" si="5"/>
        <v>-309000000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1029</v>
      </c>
      <c r="H19" s="36">
        <f t="shared" si="2"/>
        <v>0</v>
      </c>
      <c r="I19" s="11">
        <f t="shared" si="3"/>
        <v>-205800000</v>
      </c>
      <c r="J19" s="53">
        <f t="shared" si="4"/>
        <v>0</v>
      </c>
      <c r="K19" s="53">
        <f t="shared" si="5"/>
        <v>-205800000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1027</v>
      </c>
      <c r="H20" s="36">
        <f t="shared" si="2"/>
        <v>1</v>
      </c>
      <c r="I20" s="11">
        <f t="shared" si="3"/>
        <v>278137314</v>
      </c>
      <c r="J20" s="53">
        <f t="shared" si="4"/>
        <v>151285752</v>
      </c>
      <c r="K20" s="53">
        <f t="shared" si="5"/>
        <v>126851562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1025</v>
      </c>
      <c r="H21" s="36">
        <f t="shared" si="2"/>
        <v>0</v>
      </c>
      <c r="I21" s="11">
        <f t="shared" si="3"/>
        <v>-1543342500</v>
      </c>
      <c r="J21" s="53">
        <f t="shared" si="4"/>
        <v>0</v>
      </c>
      <c r="K21" s="53">
        <f t="shared" si="5"/>
        <v>-1543342500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1022</v>
      </c>
      <c r="H22" s="36">
        <f t="shared" si="2"/>
        <v>1</v>
      </c>
      <c r="I22" s="11">
        <f t="shared" si="3"/>
        <v>3063000000</v>
      </c>
      <c r="J22" s="53">
        <f t="shared" si="4"/>
        <v>0</v>
      </c>
      <c r="K22" s="53">
        <f t="shared" si="5"/>
        <v>3063000000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1021</v>
      </c>
      <c r="H23" s="36">
        <f t="shared" si="2"/>
        <v>1</v>
      </c>
      <c r="I23" s="11">
        <f t="shared" si="3"/>
        <v>1020000000</v>
      </c>
      <c r="J23" s="53">
        <f t="shared" si="4"/>
        <v>0</v>
      </c>
      <c r="K23" s="53">
        <f t="shared" si="5"/>
        <v>1020000000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1020</v>
      </c>
      <c r="H24" s="36">
        <f t="shared" si="2"/>
        <v>0</v>
      </c>
      <c r="I24" s="11">
        <f t="shared" si="3"/>
        <v>-3060918000</v>
      </c>
      <c r="J24" s="53">
        <f t="shared" si="4"/>
        <v>0</v>
      </c>
      <c r="K24" s="53">
        <f t="shared" si="5"/>
        <v>-3060918000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1005</v>
      </c>
      <c r="H25" s="36">
        <f t="shared" si="2"/>
        <v>1</v>
      </c>
      <c r="I25" s="11">
        <f t="shared" si="3"/>
        <v>1506000000</v>
      </c>
      <c r="J25" s="53">
        <f t="shared" si="4"/>
        <v>0</v>
      </c>
      <c r="K25" s="53">
        <f t="shared" si="5"/>
        <v>1506000000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997</v>
      </c>
      <c r="H26" s="36">
        <f t="shared" si="2"/>
        <v>0</v>
      </c>
      <c r="I26" s="11">
        <f t="shared" si="3"/>
        <v>-163508000</v>
      </c>
      <c r="J26" s="53">
        <f t="shared" si="4"/>
        <v>0</v>
      </c>
      <c r="K26" s="53">
        <f t="shared" si="5"/>
        <v>-163508000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996</v>
      </c>
      <c r="H27" s="36">
        <f t="shared" si="2"/>
        <v>1</v>
      </c>
      <c r="I27" s="11">
        <f t="shared" si="3"/>
        <v>198396035</v>
      </c>
      <c r="J27" s="53">
        <f t="shared" si="4"/>
        <v>106875935</v>
      </c>
      <c r="K27" s="53">
        <f t="shared" si="5"/>
        <v>91520100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994</v>
      </c>
      <c r="H28" s="36">
        <f t="shared" si="2"/>
        <v>0</v>
      </c>
      <c r="I28" s="11">
        <f t="shared" si="3"/>
        <v>-219674000</v>
      </c>
      <c r="J28" s="53">
        <f t="shared" si="4"/>
        <v>-219674000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994</v>
      </c>
      <c r="H29" s="36">
        <f t="shared" si="2"/>
        <v>0</v>
      </c>
      <c r="I29" s="11">
        <f t="shared" si="3"/>
        <v>-497497000</v>
      </c>
      <c r="J29" s="53">
        <f t="shared" si="4"/>
        <v>0</v>
      </c>
      <c r="K29" s="53">
        <f t="shared" si="5"/>
        <v>-497497000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994</v>
      </c>
      <c r="H30" s="36">
        <f t="shared" si="2"/>
        <v>0</v>
      </c>
      <c r="I30" s="11">
        <f t="shared" si="3"/>
        <v>-14910000000</v>
      </c>
      <c r="J30" s="53">
        <f t="shared" si="4"/>
        <v>-14910000000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977</v>
      </c>
      <c r="H31" s="36">
        <f t="shared" si="2"/>
        <v>0</v>
      </c>
      <c r="I31" s="11">
        <f t="shared" si="3"/>
        <v>-2941649300</v>
      </c>
      <c r="J31" s="53">
        <f t="shared" si="4"/>
        <v>0</v>
      </c>
      <c r="K31" s="53">
        <f t="shared" si="5"/>
        <v>-2941649300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975</v>
      </c>
      <c r="H32" s="36">
        <f t="shared" si="2"/>
        <v>0</v>
      </c>
      <c r="I32" s="11">
        <f t="shared" si="3"/>
        <v>-2930752500</v>
      </c>
      <c r="J32" s="53">
        <f t="shared" si="4"/>
        <v>0</v>
      </c>
      <c r="K32" s="53">
        <f t="shared" si="5"/>
        <v>-2930752500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974</v>
      </c>
      <c r="H33" s="36">
        <f t="shared" si="2"/>
        <v>0</v>
      </c>
      <c r="I33" s="11">
        <f t="shared" si="3"/>
        <v>-872217000</v>
      </c>
      <c r="J33" s="53">
        <f t="shared" si="4"/>
        <v>0</v>
      </c>
      <c r="K33" s="53">
        <f t="shared" si="5"/>
        <v>-872217000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974</v>
      </c>
      <c r="H34" s="36">
        <f t="shared" si="2"/>
        <v>0</v>
      </c>
      <c r="I34" s="11">
        <f t="shared" si="3"/>
        <v>0</v>
      </c>
      <c r="J34" s="53">
        <f t="shared" si="4"/>
        <v>974000000</v>
      </c>
      <c r="K34" s="53">
        <f t="shared" si="5"/>
        <v>-974000000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965</v>
      </c>
      <c r="H35" s="36">
        <f t="shared" si="2"/>
        <v>1</v>
      </c>
      <c r="I35" s="11">
        <f t="shared" si="3"/>
        <v>50583008</v>
      </c>
      <c r="J35" s="53">
        <f t="shared" si="4"/>
        <v>-20883132</v>
      </c>
      <c r="K35" s="53">
        <f t="shared" si="5"/>
        <v>71466140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965</v>
      </c>
      <c r="H36" s="36">
        <f t="shared" si="2"/>
        <v>0</v>
      </c>
      <c r="I36" s="11">
        <f t="shared" si="3"/>
        <v>0</v>
      </c>
      <c r="J36" s="53">
        <f t="shared" si="4"/>
        <v>20904795</v>
      </c>
      <c r="K36" s="53">
        <f t="shared" si="5"/>
        <v>-20904795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955</v>
      </c>
      <c r="H37" s="36">
        <f t="shared" si="2"/>
        <v>0</v>
      </c>
      <c r="I37" s="11">
        <f t="shared" si="3"/>
        <v>-52525000</v>
      </c>
      <c r="J37" s="53">
        <f t="shared" si="4"/>
        <v>0</v>
      </c>
      <c r="K37" s="53">
        <f t="shared" si="5"/>
        <v>-52525000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954</v>
      </c>
      <c r="H38" s="36">
        <f t="shared" si="2"/>
        <v>1</v>
      </c>
      <c r="I38" s="11">
        <f t="shared" si="3"/>
        <v>2859000000</v>
      </c>
      <c r="J38" s="53">
        <f t="shared" si="4"/>
        <v>2859000000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953</v>
      </c>
      <c r="H39" s="36">
        <f t="shared" si="2"/>
        <v>1</v>
      </c>
      <c r="I39" s="11">
        <f t="shared" si="3"/>
        <v>2380000000</v>
      </c>
      <c r="J39" s="53">
        <f t="shared" si="4"/>
        <v>2380000000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953</v>
      </c>
      <c r="H40" s="36">
        <f t="shared" si="2"/>
        <v>0</v>
      </c>
      <c r="I40" s="11">
        <f t="shared" si="3"/>
        <v>-47650000</v>
      </c>
      <c r="J40" s="53">
        <f t="shared" si="4"/>
        <v>0</v>
      </c>
      <c r="K40" s="53">
        <f t="shared" si="5"/>
        <v>-47650000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953</v>
      </c>
      <c r="H41" s="36">
        <f t="shared" si="2"/>
        <v>1</v>
      </c>
      <c r="I41" s="11">
        <f t="shared" si="3"/>
        <v>2856000000</v>
      </c>
      <c r="J41" s="53">
        <f t="shared" si="4"/>
        <v>0</v>
      </c>
      <c r="K41" s="53">
        <f t="shared" si="5"/>
        <v>2856000000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950</v>
      </c>
      <c r="H42" s="36">
        <f t="shared" si="2"/>
        <v>0</v>
      </c>
      <c r="I42" s="11">
        <f t="shared" si="3"/>
        <v>-84740000</v>
      </c>
      <c r="J42" s="53">
        <f t="shared" si="4"/>
        <v>0</v>
      </c>
      <c r="K42" s="53">
        <f t="shared" si="5"/>
        <v>-84740000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946</v>
      </c>
      <c r="H43" s="36">
        <f t="shared" si="2"/>
        <v>0</v>
      </c>
      <c r="I43" s="11">
        <f t="shared" si="3"/>
        <v>-189200000</v>
      </c>
      <c r="J43" s="53">
        <f t="shared" si="4"/>
        <v>0</v>
      </c>
      <c r="K43" s="53">
        <f t="shared" si="5"/>
        <v>-189200000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944</v>
      </c>
      <c r="H44" s="36">
        <f t="shared" si="2"/>
        <v>0</v>
      </c>
      <c r="I44" s="11">
        <f t="shared" si="3"/>
        <v>-188800000</v>
      </c>
      <c r="J44" s="53">
        <f t="shared" si="4"/>
        <v>0</v>
      </c>
      <c r="K44" s="53">
        <f t="shared" si="5"/>
        <v>-188800000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944</v>
      </c>
      <c r="H45" s="36">
        <f t="shared" si="2"/>
        <v>0</v>
      </c>
      <c r="I45" s="11">
        <f t="shared" si="3"/>
        <v>-528640000</v>
      </c>
      <c r="J45" s="53">
        <f t="shared" si="4"/>
        <v>0</v>
      </c>
      <c r="K45" s="53">
        <f t="shared" si="5"/>
        <v>-528640000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940</v>
      </c>
      <c r="H46" s="36">
        <f t="shared" si="2"/>
        <v>0</v>
      </c>
      <c r="I46" s="11">
        <f t="shared" si="3"/>
        <v>-663170000</v>
      </c>
      <c r="J46" s="53">
        <f t="shared" si="4"/>
        <v>0</v>
      </c>
      <c r="K46" s="53">
        <f t="shared" si="5"/>
        <v>-663170000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934</v>
      </c>
      <c r="H47" s="36">
        <f t="shared" si="2"/>
        <v>1</v>
      </c>
      <c r="I47" s="11">
        <f t="shared" si="3"/>
        <v>38443332</v>
      </c>
      <c r="J47" s="53">
        <f t="shared" si="4"/>
        <v>6263229</v>
      </c>
      <c r="K47" s="53">
        <f t="shared" si="5"/>
        <v>32180103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934</v>
      </c>
      <c r="H48" s="36">
        <f t="shared" si="2"/>
        <v>1</v>
      </c>
      <c r="I48" s="11">
        <f t="shared" si="3"/>
        <v>1590485100</v>
      </c>
      <c r="J48" s="53">
        <f t="shared" si="4"/>
        <v>0</v>
      </c>
      <c r="K48" s="53">
        <f t="shared" si="5"/>
        <v>1590485100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925</v>
      </c>
      <c r="H49" s="36">
        <f t="shared" si="2"/>
        <v>0</v>
      </c>
      <c r="I49" s="11">
        <f t="shared" si="3"/>
        <v>-143375000</v>
      </c>
      <c r="J49" s="53">
        <f t="shared" si="4"/>
        <v>0</v>
      </c>
      <c r="K49" s="53">
        <f t="shared" si="5"/>
        <v>-143375000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925</v>
      </c>
      <c r="H50" s="36">
        <f t="shared" si="2"/>
        <v>0</v>
      </c>
      <c r="I50" s="11">
        <f t="shared" si="3"/>
        <v>-127650000</v>
      </c>
      <c r="J50" s="53">
        <f t="shared" si="4"/>
        <v>0</v>
      </c>
      <c r="K50" s="53">
        <f t="shared" si="5"/>
        <v>-127650000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925</v>
      </c>
      <c r="H51" s="36">
        <f t="shared" si="2"/>
        <v>0</v>
      </c>
      <c r="I51" s="11">
        <f t="shared" si="3"/>
        <v>-684500000</v>
      </c>
      <c r="J51" s="53">
        <f t="shared" si="4"/>
        <v>0</v>
      </c>
      <c r="K51" s="53">
        <f t="shared" si="5"/>
        <v>-684500000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925</v>
      </c>
      <c r="H52" s="36">
        <f t="shared" si="2"/>
        <v>0</v>
      </c>
      <c r="I52" s="11">
        <f t="shared" si="3"/>
        <v>-185000000</v>
      </c>
      <c r="J52" s="53">
        <f t="shared" si="4"/>
        <v>0</v>
      </c>
      <c r="K52" s="53">
        <f t="shared" si="5"/>
        <v>-185000000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924</v>
      </c>
      <c r="H53" s="36">
        <f t="shared" si="2"/>
        <v>0</v>
      </c>
      <c r="I53" s="11">
        <f t="shared" si="3"/>
        <v>-974820000</v>
      </c>
      <c r="J53" s="53">
        <f t="shared" si="4"/>
        <v>0</v>
      </c>
      <c r="K53" s="53">
        <f t="shared" si="5"/>
        <v>-974820000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924</v>
      </c>
      <c r="H54" s="36">
        <f t="shared" si="2"/>
        <v>0</v>
      </c>
      <c r="I54" s="11">
        <f t="shared" si="3"/>
        <v>-184800000</v>
      </c>
      <c r="J54" s="53">
        <f t="shared" si="4"/>
        <v>0</v>
      </c>
      <c r="K54" s="53">
        <f t="shared" si="5"/>
        <v>-184800000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924</v>
      </c>
      <c r="H55" s="36">
        <f t="shared" si="2"/>
        <v>0</v>
      </c>
      <c r="I55" s="11">
        <f t="shared" si="3"/>
        <v>-924462000</v>
      </c>
      <c r="J55" s="53">
        <f t="shared" si="4"/>
        <v>0</v>
      </c>
      <c r="K55" s="53">
        <f t="shared" si="5"/>
        <v>-924462000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924</v>
      </c>
      <c r="H56" s="36">
        <f t="shared" si="2"/>
        <v>0</v>
      </c>
      <c r="I56" s="11">
        <f t="shared" si="3"/>
        <v>-35112000</v>
      </c>
      <c r="J56" s="53">
        <f t="shared" si="4"/>
        <v>0</v>
      </c>
      <c r="K56" s="53">
        <f t="shared" si="5"/>
        <v>-35112000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924</v>
      </c>
      <c r="H57" s="36">
        <f t="shared" si="2"/>
        <v>0</v>
      </c>
      <c r="I57" s="11">
        <f t="shared" si="3"/>
        <v>-97020000</v>
      </c>
      <c r="J57" s="53">
        <f t="shared" si="4"/>
        <v>0</v>
      </c>
      <c r="K57" s="53">
        <f t="shared" si="5"/>
        <v>-97020000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924</v>
      </c>
      <c r="H58" s="36">
        <f t="shared" si="2"/>
        <v>0</v>
      </c>
      <c r="I58" s="11">
        <f t="shared" si="3"/>
        <v>-55440000</v>
      </c>
      <c r="J58" s="53">
        <f t="shared" si="4"/>
        <v>0</v>
      </c>
      <c r="K58" s="53">
        <f t="shared" si="5"/>
        <v>-55440000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921</v>
      </c>
      <c r="H59" s="36">
        <f t="shared" si="2"/>
        <v>1</v>
      </c>
      <c r="I59" s="11">
        <f t="shared" si="3"/>
        <v>920000000</v>
      </c>
      <c r="J59" s="53">
        <f t="shared" si="4"/>
        <v>920000000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920</v>
      </c>
      <c r="H60" s="36">
        <f t="shared" si="2"/>
        <v>1</v>
      </c>
      <c r="I60" s="11">
        <f t="shared" si="3"/>
        <v>3216500000</v>
      </c>
      <c r="J60" s="53">
        <f t="shared" si="4"/>
        <v>3216500000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918</v>
      </c>
      <c r="H61" s="36">
        <f t="shared" si="2"/>
        <v>1</v>
      </c>
      <c r="I61" s="11">
        <f t="shared" si="3"/>
        <v>917000000</v>
      </c>
      <c r="J61" s="53">
        <f t="shared" si="4"/>
        <v>917000000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918</v>
      </c>
      <c r="H62" s="36">
        <f t="shared" si="2"/>
        <v>1</v>
      </c>
      <c r="I62" s="11">
        <f t="shared" si="3"/>
        <v>2751000000</v>
      </c>
      <c r="J62" s="53">
        <f t="shared" si="4"/>
        <v>2751000000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916</v>
      </c>
      <c r="H63" s="36">
        <f t="shared" si="2"/>
        <v>0</v>
      </c>
      <c r="I63" s="11">
        <f t="shared" si="3"/>
        <v>-183200000</v>
      </c>
      <c r="J63" s="53">
        <f t="shared" si="4"/>
        <v>0</v>
      </c>
      <c r="K63" s="53">
        <f t="shared" si="5"/>
        <v>-183200000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911</v>
      </c>
      <c r="H64" s="36">
        <f t="shared" si="2"/>
        <v>0</v>
      </c>
      <c r="I64" s="11">
        <f t="shared" si="3"/>
        <v>-45550000</v>
      </c>
      <c r="J64" s="53">
        <f t="shared" si="4"/>
        <v>0</v>
      </c>
      <c r="K64" s="53">
        <f t="shared" si="5"/>
        <v>-45550000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907</v>
      </c>
      <c r="H65" s="36">
        <f t="shared" si="2"/>
        <v>0</v>
      </c>
      <c r="I65" s="11">
        <f t="shared" si="3"/>
        <v>-181400000</v>
      </c>
      <c r="J65" s="53">
        <f t="shared" si="4"/>
        <v>0</v>
      </c>
      <c r="K65" s="53">
        <f t="shared" si="5"/>
        <v>-181400000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904</v>
      </c>
      <c r="H66" s="36">
        <f t="shared" si="2"/>
        <v>0</v>
      </c>
      <c r="I66" s="11">
        <f t="shared" si="3"/>
        <v>-153680000</v>
      </c>
      <c r="J66" s="53">
        <f t="shared" si="4"/>
        <v>0</v>
      </c>
      <c r="K66" s="53">
        <f t="shared" si="5"/>
        <v>-153680000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903</v>
      </c>
      <c r="H67" s="36">
        <f t="shared" ref="H67:H131" si="8">IF(B67&gt;0,1,0)</f>
        <v>1</v>
      </c>
      <c r="I67" s="11">
        <f t="shared" ref="I67:I119" si="9">B67*(G67-H67)</f>
        <v>82375150</v>
      </c>
      <c r="J67" s="53">
        <f t="shared" ref="J67:J131" si="10">C67*(G67-H67)</f>
        <v>59282146</v>
      </c>
      <c r="K67" s="53">
        <f t="shared" ref="K67:K131" si="11">D67*(G67-H67)</f>
        <v>23093004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885</v>
      </c>
      <c r="H68" s="36">
        <f t="shared" si="8"/>
        <v>0</v>
      </c>
      <c r="I68" s="11">
        <f t="shared" si="9"/>
        <v>-128325000</v>
      </c>
      <c r="J68" s="53">
        <f t="shared" si="10"/>
        <v>0</v>
      </c>
      <c r="K68" s="53">
        <f t="shared" si="11"/>
        <v>-128325000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878</v>
      </c>
      <c r="H69" s="36">
        <f t="shared" si="8"/>
        <v>1</v>
      </c>
      <c r="I69" s="11">
        <f t="shared" si="9"/>
        <v>859460000</v>
      </c>
      <c r="J69" s="53">
        <f t="shared" si="10"/>
        <v>0</v>
      </c>
      <c r="K69" s="53">
        <f t="shared" si="11"/>
        <v>859460000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875</v>
      </c>
      <c r="H70" s="36">
        <f t="shared" si="8"/>
        <v>0</v>
      </c>
      <c r="I70" s="11">
        <f t="shared" si="9"/>
        <v>-40250000</v>
      </c>
      <c r="J70" s="53">
        <f t="shared" si="10"/>
        <v>0</v>
      </c>
      <c r="K70" s="53">
        <f t="shared" si="11"/>
        <v>-40250000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873</v>
      </c>
      <c r="H71" s="36">
        <f t="shared" si="8"/>
        <v>1</v>
      </c>
      <c r="I71" s="11">
        <f t="shared" si="9"/>
        <v>100574736</v>
      </c>
      <c r="J71" s="53">
        <f t="shared" si="10"/>
        <v>90524064</v>
      </c>
      <c r="K71" s="53">
        <f t="shared" si="11"/>
        <v>10050672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872</v>
      </c>
      <c r="H72" s="36">
        <f t="shared" si="8"/>
        <v>0</v>
      </c>
      <c r="I72" s="11">
        <f t="shared" si="9"/>
        <v>-132516968</v>
      </c>
      <c r="J72" s="53">
        <f t="shared" si="10"/>
        <v>0</v>
      </c>
      <c r="K72" s="53">
        <f t="shared" si="11"/>
        <v>-132516968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871</v>
      </c>
      <c r="H73" s="36">
        <f t="shared" si="8"/>
        <v>0</v>
      </c>
      <c r="I73" s="11">
        <f t="shared" si="9"/>
        <v>-701590500</v>
      </c>
      <c r="J73" s="53">
        <f t="shared" si="10"/>
        <v>0</v>
      </c>
      <c r="K73" s="53">
        <f t="shared" si="11"/>
        <v>-701590500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864</v>
      </c>
      <c r="H74" s="36">
        <f t="shared" si="8"/>
        <v>1</v>
      </c>
      <c r="I74" s="11">
        <f t="shared" si="9"/>
        <v>6036685000</v>
      </c>
      <c r="J74" s="53">
        <f t="shared" si="10"/>
        <v>0</v>
      </c>
      <c r="K74" s="53">
        <f t="shared" si="11"/>
        <v>6036685000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863</v>
      </c>
      <c r="H75" s="36">
        <f t="shared" si="8"/>
        <v>1</v>
      </c>
      <c r="I75" s="11">
        <f t="shared" si="9"/>
        <v>2586000000</v>
      </c>
      <c r="J75" s="53">
        <f t="shared" si="10"/>
        <v>0</v>
      </c>
      <c r="K75" s="53">
        <f t="shared" si="11"/>
        <v>2586000000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861</v>
      </c>
      <c r="H76" s="36">
        <f t="shared" si="8"/>
        <v>1</v>
      </c>
      <c r="I76" s="11">
        <f t="shared" si="9"/>
        <v>2580000000</v>
      </c>
      <c r="J76" s="53">
        <f t="shared" si="10"/>
        <v>0</v>
      </c>
      <c r="K76" s="53">
        <f t="shared" si="11"/>
        <v>2580000000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860</v>
      </c>
      <c r="H77" s="36">
        <f t="shared" si="8"/>
        <v>1</v>
      </c>
      <c r="I77" s="11">
        <f t="shared" si="9"/>
        <v>2577000000</v>
      </c>
      <c r="J77" s="53">
        <f t="shared" si="10"/>
        <v>0</v>
      </c>
      <c r="K77" s="53">
        <f t="shared" si="11"/>
        <v>2577000000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859</v>
      </c>
      <c r="H78" s="36">
        <f t="shared" si="8"/>
        <v>0</v>
      </c>
      <c r="I78" s="11">
        <f t="shared" si="9"/>
        <v>-2748800000</v>
      </c>
      <c r="J78" s="53">
        <f t="shared" si="10"/>
        <v>-2748800000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858</v>
      </c>
      <c r="H79" s="36">
        <f t="shared" si="8"/>
        <v>0</v>
      </c>
      <c r="I79" s="11">
        <f t="shared" si="9"/>
        <v>-686400000</v>
      </c>
      <c r="J79" s="53">
        <f t="shared" si="10"/>
        <v>-686400000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857</v>
      </c>
      <c r="H80" s="36">
        <f t="shared" si="8"/>
        <v>0</v>
      </c>
      <c r="I80" s="11">
        <f t="shared" si="9"/>
        <v>-41472801</v>
      </c>
      <c r="J80" s="53">
        <f t="shared" si="10"/>
        <v>0</v>
      </c>
      <c r="K80" s="53">
        <f t="shared" si="11"/>
        <v>-41472801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856</v>
      </c>
      <c r="H81" s="36">
        <f t="shared" si="8"/>
        <v>0</v>
      </c>
      <c r="I81" s="11">
        <f t="shared" si="9"/>
        <v>-119840000</v>
      </c>
      <c r="J81" s="53">
        <f t="shared" si="10"/>
        <v>0</v>
      </c>
      <c r="K81" s="53">
        <f t="shared" si="11"/>
        <v>-119840000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855</v>
      </c>
      <c r="H82" s="36">
        <f t="shared" si="8"/>
        <v>0</v>
      </c>
      <c r="I82" s="11">
        <f t="shared" si="9"/>
        <v>-213750000</v>
      </c>
      <c r="J82" s="53">
        <f t="shared" si="10"/>
        <v>0</v>
      </c>
      <c r="K82" s="53">
        <f t="shared" si="11"/>
        <v>-213750000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854</v>
      </c>
      <c r="H83" s="36">
        <f t="shared" si="8"/>
        <v>0</v>
      </c>
      <c r="I83" s="11">
        <f t="shared" si="9"/>
        <v>-170800000</v>
      </c>
      <c r="J83" s="53">
        <f t="shared" si="10"/>
        <v>0</v>
      </c>
      <c r="K83" s="53">
        <f t="shared" si="11"/>
        <v>-170800000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851</v>
      </c>
      <c r="H84" s="36">
        <f t="shared" si="8"/>
        <v>1</v>
      </c>
      <c r="I84" s="11">
        <f t="shared" si="9"/>
        <v>1389920000</v>
      </c>
      <c r="J84" s="53">
        <f t="shared" si="10"/>
        <v>0</v>
      </c>
      <c r="K84" s="53">
        <f t="shared" si="11"/>
        <v>1389920000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847</v>
      </c>
      <c r="H85" s="36">
        <f t="shared" si="8"/>
        <v>1</v>
      </c>
      <c r="I85" s="11">
        <f t="shared" si="9"/>
        <v>2115000000</v>
      </c>
      <c r="J85" s="53">
        <f t="shared" si="10"/>
        <v>0</v>
      </c>
      <c r="K85" s="53">
        <f t="shared" si="11"/>
        <v>2115000000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843</v>
      </c>
      <c r="H86" s="36">
        <f t="shared" si="8"/>
        <v>1</v>
      </c>
      <c r="I86" s="11">
        <f t="shared" si="9"/>
        <v>156864600</v>
      </c>
      <c r="J86" s="53">
        <f t="shared" si="10"/>
        <v>71527900</v>
      </c>
      <c r="K86" s="53">
        <f t="shared" si="11"/>
        <v>85336700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840</v>
      </c>
      <c r="H87" s="36">
        <f t="shared" si="8"/>
        <v>0</v>
      </c>
      <c r="I87" s="11">
        <f t="shared" si="9"/>
        <v>-168000000</v>
      </c>
      <c r="J87" s="53">
        <f t="shared" si="10"/>
        <v>0</v>
      </c>
      <c r="K87" s="53">
        <f t="shared" si="11"/>
        <v>-168000000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839</v>
      </c>
      <c r="H88" s="36">
        <f t="shared" si="8"/>
        <v>0</v>
      </c>
      <c r="I88" s="11">
        <f t="shared" si="9"/>
        <v>-99002000</v>
      </c>
      <c r="J88" s="53">
        <f t="shared" si="10"/>
        <v>-57891000</v>
      </c>
      <c r="K88" s="53">
        <f t="shared" si="11"/>
        <v>-41111000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831</v>
      </c>
      <c r="H89" s="36">
        <f t="shared" si="8"/>
        <v>0</v>
      </c>
      <c r="I89" s="11">
        <f t="shared" si="9"/>
        <v>-2659947900</v>
      </c>
      <c r="J89" s="53">
        <f t="shared" si="10"/>
        <v>0</v>
      </c>
      <c r="K89" s="53">
        <f t="shared" si="11"/>
        <v>-2659947900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830</v>
      </c>
      <c r="H90" s="36">
        <f t="shared" si="8"/>
        <v>0</v>
      </c>
      <c r="I90" s="11">
        <f t="shared" si="9"/>
        <v>-2656747000</v>
      </c>
      <c r="J90" s="53">
        <f t="shared" si="10"/>
        <v>0</v>
      </c>
      <c r="K90" s="53">
        <f t="shared" si="11"/>
        <v>-2656747000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829</v>
      </c>
      <c r="H91" s="36">
        <f t="shared" si="8"/>
        <v>0</v>
      </c>
      <c r="I91" s="11">
        <f t="shared" si="9"/>
        <v>-2653546100</v>
      </c>
      <c r="J91" s="53">
        <f t="shared" si="10"/>
        <v>0</v>
      </c>
      <c r="K91" s="53">
        <f t="shared" si="11"/>
        <v>-2653546100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828</v>
      </c>
      <c r="H92" s="36">
        <f t="shared" si="8"/>
        <v>0</v>
      </c>
      <c r="I92" s="11">
        <f t="shared" si="9"/>
        <v>-2650345200</v>
      </c>
      <c r="J92" s="53">
        <f t="shared" si="10"/>
        <v>0</v>
      </c>
      <c r="K92" s="53">
        <f t="shared" si="11"/>
        <v>-2650345200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827</v>
      </c>
      <c r="H93" s="36">
        <f t="shared" si="8"/>
        <v>0</v>
      </c>
      <c r="I93" s="11">
        <f t="shared" si="9"/>
        <v>-2647144300</v>
      </c>
      <c r="J93" s="53">
        <f t="shared" si="10"/>
        <v>0</v>
      </c>
      <c r="K93" s="53">
        <f t="shared" si="11"/>
        <v>-2647144300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826</v>
      </c>
      <c r="H94" s="36">
        <f t="shared" si="8"/>
        <v>0</v>
      </c>
      <c r="I94" s="11">
        <f t="shared" si="9"/>
        <v>-2643943400</v>
      </c>
      <c r="J94" s="53">
        <f t="shared" si="10"/>
        <v>0</v>
      </c>
      <c r="K94" s="53">
        <f t="shared" si="11"/>
        <v>-2643943400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824</v>
      </c>
      <c r="H95" s="36">
        <f t="shared" si="8"/>
        <v>0</v>
      </c>
      <c r="I95" s="11">
        <f t="shared" si="9"/>
        <v>-985995104</v>
      </c>
      <c r="J95" s="53">
        <f t="shared" si="10"/>
        <v>0</v>
      </c>
      <c r="K95" s="53">
        <f t="shared" si="11"/>
        <v>-985995104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814</v>
      </c>
      <c r="H96" s="36">
        <f t="shared" si="8"/>
        <v>0</v>
      </c>
      <c r="I96" s="11">
        <f t="shared" si="9"/>
        <v>-162800000</v>
      </c>
      <c r="J96" s="53">
        <f t="shared" si="10"/>
        <v>0</v>
      </c>
      <c r="K96" s="53">
        <f t="shared" si="11"/>
        <v>-162800000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813</v>
      </c>
      <c r="H97" s="36">
        <f t="shared" si="8"/>
        <v>1</v>
      </c>
      <c r="I97" s="11">
        <f t="shared" si="9"/>
        <v>129561096</v>
      </c>
      <c r="J97" s="53">
        <f t="shared" si="10"/>
        <v>55967912</v>
      </c>
      <c r="K97" s="53">
        <f t="shared" si="11"/>
        <v>73593184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808</v>
      </c>
      <c r="H98" s="36">
        <f t="shared" si="8"/>
        <v>1</v>
      </c>
      <c r="I98" s="11">
        <f t="shared" si="9"/>
        <v>92294976</v>
      </c>
      <c r="J98" s="53">
        <f t="shared" si="10"/>
        <v>0</v>
      </c>
      <c r="K98" s="53">
        <f t="shared" si="11"/>
        <v>92294976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805</v>
      </c>
      <c r="H99" s="36">
        <f t="shared" si="8"/>
        <v>0</v>
      </c>
      <c r="I99" s="11">
        <f t="shared" si="9"/>
        <v>-1066625000</v>
      </c>
      <c r="J99" s="53">
        <f t="shared" si="10"/>
        <v>0</v>
      </c>
      <c r="K99" s="53">
        <f t="shared" si="11"/>
        <v>-1066625000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800</v>
      </c>
      <c r="H100" s="36">
        <f t="shared" si="8"/>
        <v>1</v>
      </c>
      <c r="I100" s="11">
        <f t="shared" si="9"/>
        <v>1058675000</v>
      </c>
      <c r="J100" s="53">
        <f t="shared" si="10"/>
        <v>0</v>
      </c>
      <c r="K100" s="53">
        <f t="shared" si="11"/>
        <v>1058675000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783</v>
      </c>
      <c r="H101" s="36">
        <f t="shared" si="8"/>
        <v>1</v>
      </c>
      <c r="I101" s="11">
        <f t="shared" si="9"/>
        <v>52272790</v>
      </c>
      <c r="J101" s="53">
        <f t="shared" si="10"/>
        <v>52272790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780</v>
      </c>
      <c r="H102" s="36">
        <f t="shared" si="8"/>
        <v>1</v>
      </c>
      <c r="I102" s="11">
        <f t="shared" si="9"/>
        <v>2337000000</v>
      </c>
      <c r="J102" s="53">
        <f t="shared" si="10"/>
        <v>0</v>
      </c>
      <c r="K102" s="53">
        <f t="shared" si="11"/>
        <v>2337000000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773</v>
      </c>
      <c r="H103" s="36">
        <f t="shared" si="8"/>
        <v>0</v>
      </c>
      <c r="I103" s="11">
        <f t="shared" si="9"/>
        <v>-773000000</v>
      </c>
      <c r="J103" s="53">
        <f t="shared" si="10"/>
        <v>-773000000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763</v>
      </c>
      <c r="H104" s="36">
        <f t="shared" si="8"/>
        <v>1</v>
      </c>
      <c r="I104" s="11">
        <f t="shared" si="9"/>
        <v>2286000000</v>
      </c>
      <c r="J104" s="53">
        <f t="shared" si="10"/>
        <v>2286000000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762</v>
      </c>
      <c r="H105" s="36">
        <f t="shared" si="8"/>
        <v>1</v>
      </c>
      <c r="I105" s="11">
        <f t="shared" si="9"/>
        <v>852320000</v>
      </c>
      <c r="J105" s="53">
        <f t="shared" si="10"/>
        <v>852320000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762</v>
      </c>
      <c r="H106" s="36">
        <f t="shared" si="8"/>
        <v>0</v>
      </c>
      <c r="I106" s="11">
        <f t="shared" si="9"/>
        <v>-2286000000</v>
      </c>
      <c r="J106" s="53">
        <f t="shared" si="10"/>
        <v>0</v>
      </c>
      <c r="K106" s="53">
        <f t="shared" si="11"/>
        <v>-2286000000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753</v>
      </c>
      <c r="H107" s="36">
        <f t="shared" si="8"/>
        <v>1</v>
      </c>
      <c r="I107" s="11">
        <f t="shared" si="9"/>
        <v>68051488</v>
      </c>
      <c r="J107" s="53">
        <f t="shared" si="10"/>
        <v>56486480</v>
      </c>
      <c r="K107" s="53">
        <f t="shared" si="11"/>
        <v>11565008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751</v>
      </c>
      <c r="H108" s="36">
        <f t="shared" si="8"/>
        <v>0</v>
      </c>
      <c r="I108" s="11">
        <f t="shared" si="9"/>
        <v>-1277225700</v>
      </c>
      <c r="J108" s="53">
        <f t="shared" si="10"/>
        <v>0</v>
      </c>
      <c r="K108" s="53">
        <f t="shared" si="11"/>
        <v>-1277225700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747</v>
      </c>
      <c r="H109" s="36">
        <f t="shared" si="8"/>
        <v>0</v>
      </c>
      <c r="I109" s="11">
        <f t="shared" si="9"/>
        <v>-747373500</v>
      </c>
      <c r="J109" s="53">
        <f t="shared" si="10"/>
        <v>0</v>
      </c>
      <c r="K109" s="53">
        <f t="shared" si="11"/>
        <v>-747373500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744</v>
      </c>
      <c r="H110" s="36">
        <f t="shared" si="8"/>
        <v>1</v>
      </c>
      <c r="I110" s="11">
        <f t="shared" si="9"/>
        <v>14860000000</v>
      </c>
      <c r="J110" s="53">
        <f t="shared" si="10"/>
        <v>0</v>
      </c>
      <c r="K110" s="53">
        <f t="shared" si="11"/>
        <v>14860000000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724</v>
      </c>
      <c r="H111" s="36">
        <f t="shared" si="8"/>
        <v>1</v>
      </c>
      <c r="I111" s="11">
        <f t="shared" si="9"/>
        <v>126292194</v>
      </c>
      <c r="J111" s="53">
        <f t="shared" si="10"/>
        <v>63163449</v>
      </c>
      <c r="K111" s="53">
        <f t="shared" si="11"/>
        <v>63128745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708</v>
      </c>
      <c r="H112" s="36">
        <f t="shared" si="8"/>
        <v>0</v>
      </c>
      <c r="I112" s="11">
        <f t="shared" si="9"/>
        <v>-20107200000</v>
      </c>
      <c r="J112" s="53">
        <f t="shared" si="10"/>
        <v>0</v>
      </c>
      <c r="K112" s="53">
        <f t="shared" si="11"/>
        <v>-20107200000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693</v>
      </c>
      <c r="H113" s="36">
        <f t="shared" si="8"/>
        <v>1</v>
      </c>
      <c r="I113" s="11">
        <f t="shared" si="9"/>
        <v>112823680</v>
      </c>
      <c r="J113" s="53">
        <f t="shared" si="10"/>
        <v>84777612</v>
      </c>
      <c r="K113" s="53">
        <f t="shared" si="11"/>
        <v>28046068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693</v>
      </c>
      <c r="H114" s="36">
        <f t="shared" si="8"/>
        <v>0</v>
      </c>
      <c r="I114" s="11">
        <f t="shared" si="9"/>
        <v>-3950100</v>
      </c>
      <c r="J114" s="53">
        <f t="shared" si="10"/>
        <v>-1732500</v>
      </c>
      <c r="K114" s="53">
        <f t="shared" si="11"/>
        <v>-2217600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680</v>
      </c>
      <c r="H115" s="36">
        <f t="shared" si="8"/>
        <v>0</v>
      </c>
      <c r="I115" s="11">
        <f t="shared" si="9"/>
        <v>0</v>
      </c>
      <c r="J115" s="53">
        <f t="shared" si="10"/>
        <v>340000000</v>
      </c>
      <c r="K115" s="53">
        <f t="shared" si="11"/>
        <v>-340000000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672</v>
      </c>
      <c r="H116" s="36">
        <f t="shared" si="8"/>
        <v>0</v>
      </c>
      <c r="I116" s="11">
        <f t="shared" si="9"/>
        <v>-107520000</v>
      </c>
      <c r="J116" s="53">
        <f t="shared" si="10"/>
        <v>0</v>
      </c>
      <c r="K116" s="53">
        <f t="shared" si="11"/>
        <v>-107520000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663</v>
      </c>
      <c r="H117" s="36">
        <f t="shared" si="8"/>
        <v>1</v>
      </c>
      <c r="I117" s="11">
        <f t="shared" si="9"/>
        <v>979760</v>
      </c>
      <c r="J117" s="53">
        <f t="shared" si="10"/>
        <v>70794942</v>
      </c>
      <c r="K117" s="53">
        <f t="shared" si="11"/>
        <v>-69815182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641</v>
      </c>
      <c r="H118" s="36">
        <f t="shared" si="8"/>
        <v>1</v>
      </c>
      <c r="I118" s="11">
        <f t="shared" si="9"/>
        <v>25215680000</v>
      </c>
      <c r="J118" s="53">
        <f t="shared" si="10"/>
        <v>0</v>
      </c>
      <c r="K118" s="53">
        <f t="shared" si="11"/>
        <v>25215680000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632</v>
      </c>
      <c r="H119" s="36">
        <f t="shared" si="8"/>
        <v>1</v>
      </c>
      <c r="I119" s="11">
        <f t="shared" si="9"/>
        <v>60273751</v>
      </c>
      <c r="J119" s="53">
        <f t="shared" si="10"/>
        <v>69444074</v>
      </c>
      <c r="K119" s="53">
        <f t="shared" si="11"/>
        <v>-9170323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628</v>
      </c>
      <c r="H120" s="11">
        <f t="shared" si="8"/>
        <v>1</v>
      </c>
      <c r="I120" s="11">
        <f t="shared" ref="I120:I296" si="13">B120*(G120-H120)</f>
        <v>1254000000</v>
      </c>
      <c r="J120" s="11">
        <f t="shared" si="10"/>
        <v>0</v>
      </c>
      <c r="K120" s="11">
        <f t="shared" si="11"/>
        <v>1254000000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602</v>
      </c>
      <c r="H121" s="11">
        <f t="shared" si="8"/>
        <v>1</v>
      </c>
      <c r="I121" s="11">
        <f t="shared" si="13"/>
        <v>1562600000</v>
      </c>
      <c r="J121" s="11">
        <f t="shared" si="10"/>
        <v>0</v>
      </c>
      <c r="K121" s="11">
        <f t="shared" si="11"/>
        <v>1562600000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601</v>
      </c>
      <c r="H122" s="11">
        <f t="shared" si="8"/>
        <v>1</v>
      </c>
      <c r="I122" s="11">
        <f t="shared" si="13"/>
        <v>230730600</v>
      </c>
      <c r="J122" s="11">
        <f t="shared" si="10"/>
        <v>66544800</v>
      </c>
      <c r="K122" s="11">
        <f t="shared" si="11"/>
        <v>164185800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600</v>
      </c>
      <c r="H123" s="11">
        <f t="shared" si="8"/>
        <v>0</v>
      </c>
      <c r="I123" s="11">
        <f t="shared" si="13"/>
        <v>0</v>
      </c>
      <c r="J123" s="11">
        <f t="shared" si="10"/>
        <v>480000000</v>
      </c>
      <c r="K123" s="11">
        <f t="shared" si="11"/>
        <v>-480000000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586</v>
      </c>
      <c r="H124" s="11">
        <f t="shared" si="8"/>
        <v>0</v>
      </c>
      <c r="I124" s="11">
        <f t="shared" si="13"/>
        <v>-1758000000</v>
      </c>
      <c r="J124" s="11">
        <f t="shared" si="10"/>
        <v>0</v>
      </c>
      <c r="K124" s="11">
        <f t="shared" si="11"/>
        <v>-1758000000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571</v>
      </c>
      <c r="H125" s="11">
        <f t="shared" si="8"/>
        <v>1</v>
      </c>
      <c r="I125" s="11">
        <f t="shared" si="13"/>
        <v>228404700</v>
      </c>
      <c r="J125" s="11">
        <f t="shared" si="10"/>
        <v>67758750</v>
      </c>
      <c r="K125" s="11">
        <f t="shared" si="11"/>
        <v>160645950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571</v>
      </c>
      <c r="H126" s="11">
        <f t="shared" si="8"/>
        <v>1</v>
      </c>
      <c r="I126" s="11">
        <f t="shared" si="13"/>
        <v>23940000000</v>
      </c>
      <c r="J126" s="11">
        <f t="shared" si="10"/>
        <v>0</v>
      </c>
      <c r="K126" s="11">
        <f t="shared" si="11"/>
        <v>23940000000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546</v>
      </c>
      <c r="H127" s="11">
        <f t="shared" si="8"/>
        <v>0</v>
      </c>
      <c r="I127" s="11">
        <f t="shared" si="13"/>
        <v>-2730000</v>
      </c>
      <c r="J127" s="11">
        <f t="shared" si="10"/>
        <v>0</v>
      </c>
      <c r="K127" s="11">
        <f t="shared" si="11"/>
        <v>-2730000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540</v>
      </c>
      <c r="H128" s="11">
        <f t="shared" si="8"/>
        <v>1</v>
      </c>
      <c r="I128" s="11">
        <f t="shared" si="13"/>
        <v>415770586</v>
      </c>
      <c r="J128" s="11">
        <f t="shared" si="10"/>
        <v>65055683</v>
      </c>
      <c r="K128" s="11">
        <f t="shared" si="11"/>
        <v>350714903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537</v>
      </c>
      <c r="H129" s="11">
        <f t="shared" si="8"/>
        <v>1</v>
      </c>
      <c r="I129" s="11">
        <f t="shared" si="13"/>
        <v>1340000000</v>
      </c>
      <c r="J129" s="11">
        <f t="shared" si="10"/>
        <v>0</v>
      </c>
      <c r="K129" s="11">
        <f t="shared" si="11"/>
        <v>1340000000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523</v>
      </c>
      <c r="H130" s="11">
        <f t="shared" si="8"/>
        <v>0</v>
      </c>
      <c r="I130" s="11">
        <f t="shared" si="13"/>
        <v>-523000000</v>
      </c>
      <c r="J130" s="11">
        <f t="shared" si="10"/>
        <v>-523000000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518</v>
      </c>
      <c r="H131" s="11">
        <f t="shared" si="8"/>
        <v>0</v>
      </c>
      <c r="I131" s="11">
        <f t="shared" si="13"/>
        <v>-25900000000</v>
      </c>
      <c r="J131" s="11">
        <f t="shared" si="10"/>
        <v>0</v>
      </c>
      <c r="K131" s="11">
        <f t="shared" si="11"/>
        <v>-25900000000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510</v>
      </c>
      <c r="H132" s="11">
        <f t="shared" ref="H132:H308" si="15">IF(B132&gt;0,1,0)</f>
        <v>1</v>
      </c>
      <c r="I132" s="11">
        <f t="shared" si="13"/>
        <v>312672083</v>
      </c>
      <c r="J132" s="11">
        <f t="shared" ref="J132:J206" si="16">C132*(G132-H132)</f>
        <v>53939239</v>
      </c>
      <c r="K132" s="11">
        <f t="shared" ref="K132:K281" si="17">D132*(G132-H132)</f>
        <v>258732844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506</v>
      </c>
      <c r="H133" s="11">
        <f t="shared" si="15"/>
        <v>0</v>
      </c>
      <c r="I133" s="11">
        <f t="shared" si="13"/>
        <v>-612614200</v>
      </c>
      <c r="J133" s="11">
        <f t="shared" si="16"/>
        <v>0</v>
      </c>
      <c r="K133" s="11">
        <f t="shared" si="17"/>
        <v>-612614200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497</v>
      </c>
      <c r="H134" s="11">
        <f t="shared" si="15"/>
        <v>0</v>
      </c>
      <c r="I134" s="11">
        <f t="shared" si="13"/>
        <v>-32305000</v>
      </c>
      <c r="J134" s="11">
        <f t="shared" si="16"/>
        <v>0</v>
      </c>
      <c r="K134" s="11">
        <f t="shared" si="17"/>
        <v>-32305000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497</v>
      </c>
      <c r="H135" s="11">
        <f t="shared" si="15"/>
        <v>0</v>
      </c>
      <c r="I135" s="11">
        <f t="shared" si="13"/>
        <v>-16053100</v>
      </c>
      <c r="J135" s="11">
        <f t="shared" si="16"/>
        <v>0</v>
      </c>
      <c r="K135" s="11">
        <f t="shared" si="17"/>
        <v>-16053100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489</v>
      </c>
      <c r="H136" s="11">
        <f t="shared" si="15"/>
        <v>0</v>
      </c>
      <c r="I136" s="11">
        <f t="shared" si="13"/>
        <v>-489000000</v>
      </c>
      <c r="J136" s="11">
        <f t="shared" si="16"/>
        <v>-489000000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480</v>
      </c>
      <c r="H137" s="11">
        <f t="shared" si="15"/>
        <v>1</v>
      </c>
      <c r="I137" s="11">
        <f t="shared" si="13"/>
        <v>139328167</v>
      </c>
      <c r="J137" s="11">
        <f t="shared" si="16"/>
        <v>46634961</v>
      </c>
      <c r="K137" s="11">
        <f t="shared" si="17"/>
        <v>92693206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463</v>
      </c>
      <c r="H138" s="11">
        <f t="shared" si="15"/>
        <v>0</v>
      </c>
      <c r="I138" s="11">
        <f t="shared" si="13"/>
        <v>-463231500</v>
      </c>
      <c r="J138" s="11">
        <f t="shared" si="16"/>
        <v>-463231500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451</v>
      </c>
      <c r="H139" s="11">
        <f t="shared" si="15"/>
        <v>1</v>
      </c>
      <c r="I139" s="11">
        <f t="shared" si="13"/>
        <v>127008000</v>
      </c>
      <c r="J139" s="11">
        <f t="shared" si="16"/>
        <v>39963150</v>
      </c>
      <c r="K139" s="11">
        <f t="shared" si="17"/>
        <v>87044850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448</v>
      </c>
      <c r="H140" s="11">
        <f t="shared" si="15"/>
        <v>1</v>
      </c>
      <c r="I140" s="11">
        <f t="shared" si="13"/>
        <v>670500000</v>
      </c>
      <c r="J140" s="11">
        <f t="shared" si="16"/>
        <v>0</v>
      </c>
      <c r="K140" s="11">
        <f t="shared" si="17"/>
        <v>670500000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435</v>
      </c>
      <c r="H141" s="11">
        <f t="shared" si="15"/>
        <v>0</v>
      </c>
      <c r="I141" s="11">
        <f t="shared" si="13"/>
        <v>0</v>
      </c>
      <c r="J141" s="11">
        <f t="shared" si="16"/>
        <v>-435000000</v>
      </c>
      <c r="K141" s="11">
        <f t="shared" si="17"/>
        <v>435000000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421</v>
      </c>
      <c r="H142" s="11">
        <f t="shared" si="15"/>
        <v>1</v>
      </c>
      <c r="I142" s="11">
        <f t="shared" si="13"/>
        <v>122175060</v>
      </c>
      <c r="J142" s="11">
        <f t="shared" si="16"/>
        <v>34029240</v>
      </c>
      <c r="K142" s="11">
        <f t="shared" si="17"/>
        <v>88145820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401</v>
      </c>
      <c r="H143" s="11">
        <f t="shared" si="15"/>
        <v>0</v>
      </c>
      <c r="I143" s="11">
        <f t="shared" si="13"/>
        <v>0</v>
      </c>
      <c r="J143" s="11">
        <f t="shared" si="16"/>
        <v>-401000000</v>
      </c>
      <c r="K143" s="11">
        <f t="shared" si="17"/>
        <v>401000000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391</v>
      </c>
      <c r="H144" s="11">
        <f t="shared" si="15"/>
        <v>1</v>
      </c>
      <c r="I144" s="11">
        <f t="shared" si="13"/>
        <v>114992280</v>
      </c>
      <c r="J144" s="11">
        <f t="shared" si="16"/>
        <v>29116230</v>
      </c>
      <c r="K144" s="11">
        <f t="shared" si="17"/>
        <v>85876050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376</v>
      </c>
      <c r="H145" s="11">
        <f t="shared" si="15"/>
        <v>0</v>
      </c>
      <c r="I145" s="11">
        <f t="shared" si="13"/>
        <v>-3760000</v>
      </c>
      <c r="J145" s="11">
        <f t="shared" si="16"/>
        <v>-1880000</v>
      </c>
      <c r="K145" s="11">
        <f t="shared" si="17"/>
        <v>-1880000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371</v>
      </c>
      <c r="H146" s="11">
        <f t="shared" si="15"/>
        <v>0</v>
      </c>
      <c r="I146" s="11">
        <f t="shared" si="13"/>
        <v>-371185500</v>
      </c>
      <c r="J146" s="11">
        <f t="shared" si="16"/>
        <v>-371185500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365</v>
      </c>
      <c r="H147" s="11">
        <f t="shared" si="15"/>
        <v>0</v>
      </c>
      <c r="I147" s="11">
        <f t="shared" si="13"/>
        <v>-9855000000</v>
      </c>
      <c r="J147" s="11">
        <f t="shared" si="16"/>
        <v>0</v>
      </c>
      <c r="K147" s="11">
        <f t="shared" si="17"/>
        <v>-9855000000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362</v>
      </c>
      <c r="H148" s="11">
        <f t="shared" si="15"/>
        <v>1</v>
      </c>
      <c r="I148" s="11">
        <f t="shared" si="13"/>
        <v>91129396</v>
      </c>
      <c r="J148" s="11">
        <f t="shared" si="16"/>
        <v>23649110</v>
      </c>
      <c r="K148" s="11">
        <f t="shared" si="17"/>
        <v>67480286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354</v>
      </c>
      <c r="H149" s="11">
        <f t="shared" si="15"/>
        <v>1</v>
      </c>
      <c r="I149" s="11">
        <f t="shared" si="13"/>
        <v>18497200000</v>
      </c>
      <c r="J149" s="11">
        <f t="shared" si="16"/>
        <v>0</v>
      </c>
      <c r="K149" s="11">
        <f t="shared" si="17"/>
        <v>18497200000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347</v>
      </c>
      <c r="H150" s="11">
        <f t="shared" si="15"/>
        <v>0</v>
      </c>
      <c r="I150" s="11">
        <f t="shared" si="13"/>
        <v>-18044000000</v>
      </c>
      <c r="J150" s="11">
        <f t="shared" si="16"/>
        <v>0</v>
      </c>
      <c r="K150" s="11">
        <f t="shared" si="17"/>
        <v>-18044000000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342</v>
      </c>
      <c r="H151" s="99">
        <f t="shared" si="15"/>
        <v>0</v>
      </c>
      <c r="I151" s="99">
        <f t="shared" si="13"/>
        <v>-2736000000</v>
      </c>
      <c r="J151" s="99">
        <f t="shared" si="16"/>
        <v>-2316068802</v>
      </c>
      <c r="K151" s="11">
        <f t="shared" si="17"/>
        <v>-419931198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342</v>
      </c>
      <c r="H152" s="99">
        <f t="shared" si="15"/>
        <v>0</v>
      </c>
      <c r="I152" s="99">
        <f t="shared" si="13"/>
        <v>-10680660</v>
      </c>
      <c r="J152" s="99">
        <f t="shared" si="16"/>
        <v>0</v>
      </c>
      <c r="K152" s="99">
        <f t="shared" si="17"/>
        <v>-10680660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331</v>
      </c>
      <c r="H153" s="99">
        <f t="shared" si="15"/>
        <v>1</v>
      </c>
      <c r="I153" s="99">
        <f t="shared" si="13"/>
        <v>44578710</v>
      </c>
      <c r="J153" s="99">
        <f t="shared" si="16"/>
        <v>13572900</v>
      </c>
      <c r="K153" s="99">
        <f t="shared" si="17"/>
        <v>31005810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328</v>
      </c>
      <c r="H154" s="99">
        <f t="shared" si="15"/>
        <v>1</v>
      </c>
      <c r="I154" s="99">
        <f t="shared" si="13"/>
        <v>2231474814</v>
      </c>
      <c r="J154" s="99">
        <f t="shared" si="16"/>
        <v>2231474814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323</v>
      </c>
      <c r="H155" s="99">
        <f t="shared" si="15"/>
        <v>0</v>
      </c>
      <c r="I155" s="99">
        <f t="shared" si="13"/>
        <v>-64600000</v>
      </c>
      <c r="J155" s="99">
        <f t="shared" si="16"/>
        <v>0</v>
      </c>
      <c r="K155" s="99">
        <f t="shared" si="17"/>
        <v>-64600000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323</v>
      </c>
      <c r="H156" s="99">
        <f t="shared" si="15"/>
        <v>0</v>
      </c>
      <c r="I156" s="99">
        <f t="shared" si="13"/>
        <v>-80052320</v>
      </c>
      <c r="J156" s="99">
        <f t="shared" si="16"/>
        <v>0</v>
      </c>
      <c r="K156" s="99">
        <f t="shared" si="17"/>
        <v>-80052320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322</v>
      </c>
      <c r="H157" s="99">
        <f t="shared" si="15"/>
        <v>0</v>
      </c>
      <c r="I157" s="99">
        <f t="shared" si="13"/>
        <v>-52273480</v>
      </c>
      <c r="J157" s="99">
        <f t="shared" si="16"/>
        <v>0</v>
      </c>
      <c r="K157" s="99">
        <f t="shared" si="17"/>
        <v>-52273480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322</v>
      </c>
      <c r="H158" s="99">
        <f t="shared" si="15"/>
        <v>0</v>
      </c>
      <c r="I158" s="99">
        <f t="shared" si="13"/>
        <v>-966289800</v>
      </c>
      <c r="J158" s="99">
        <f t="shared" si="16"/>
        <v>0</v>
      </c>
      <c r="K158" s="99">
        <f t="shared" si="17"/>
        <v>-966289800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320</v>
      </c>
      <c r="H159" s="99">
        <f t="shared" si="15"/>
        <v>0</v>
      </c>
      <c r="I159" s="99">
        <f t="shared" si="13"/>
        <v>-320160000</v>
      </c>
      <c r="J159" s="99">
        <f t="shared" si="16"/>
        <v>0</v>
      </c>
      <c r="K159" s="99">
        <f t="shared" si="17"/>
        <v>-320160000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316</v>
      </c>
      <c r="H160" s="99">
        <f t="shared" si="15"/>
        <v>0</v>
      </c>
      <c r="I160" s="99">
        <f t="shared" si="13"/>
        <v>-31600000</v>
      </c>
      <c r="J160" s="99">
        <f t="shared" si="16"/>
        <v>0</v>
      </c>
      <c r="K160" s="99">
        <f t="shared" si="17"/>
        <v>-31600000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315</v>
      </c>
      <c r="H161" s="99">
        <f t="shared" si="15"/>
        <v>0</v>
      </c>
      <c r="I161" s="99">
        <f t="shared" si="13"/>
        <v>-630000000</v>
      </c>
      <c r="J161" s="99">
        <f t="shared" si="16"/>
        <v>0</v>
      </c>
      <c r="K161" s="99">
        <f t="shared" si="17"/>
        <v>-630000000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315</v>
      </c>
      <c r="H162" s="99">
        <f t="shared" si="15"/>
        <v>0</v>
      </c>
      <c r="I162" s="99">
        <f t="shared" si="13"/>
        <v>-315157500</v>
      </c>
      <c r="J162" s="99">
        <f t="shared" si="16"/>
        <v>0</v>
      </c>
      <c r="K162" s="99">
        <f t="shared" si="17"/>
        <v>-315157500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312</v>
      </c>
      <c r="H163" s="99">
        <f t="shared" si="15"/>
        <v>0</v>
      </c>
      <c r="I163" s="99">
        <f t="shared" si="13"/>
        <v>-1560000</v>
      </c>
      <c r="J163" s="99">
        <f t="shared" si="16"/>
        <v>0</v>
      </c>
      <c r="K163" s="99">
        <f t="shared" si="17"/>
        <v>-1560000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302</v>
      </c>
      <c r="H164" s="99">
        <f t="shared" si="15"/>
        <v>1</v>
      </c>
      <c r="I164" s="99">
        <f t="shared" si="13"/>
        <v>903000000</v>
      </c>
      <c r="J164" s="99">
        <f t="shared" si="16"/>
        <v>0</v>
      </c>
      <c r="K164" s="99">
        <f t="shared" si="17"/>
        <v>903000000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301</v>
      </c>
      <c r="H165" s="99">
        <f t="shared" si="15"/>
        <v>1</v>
      </c>
      <c r="I165" s="99">
        <f t="shared" si="13"/>
        <v>900000000</v>
      </c>
      <c r="J165" s="99">
        <f t="shared" si="16"/>
        <v>0</v>
      </c>
      <c r="K165" s="99">
        <f t="shared" si="17"/>
        <v>900000000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300</v>
      </c>
      <c r="H166" s="99">
        <f t="shared" si="15"/>
        <v>1</v>
      </c>
      <c r="I166" s="99">
        <f t="shared" si="13"/>
        <v>6073886</v>
      </c>
      <c r="J166" s="99">
        <f t="shared" si="16"/>
        <v>17892758</v>
      </c>
      <c r="K166" s="99">
        <f t="shared" si="17"/>
        <v>-11818872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295</v>
      </c>
      <c r="H167" s="99">
        <f t="shared" si="15"/>
        <v>0</v>
      </c>
      <c r="I167" s="99">
        <f t="shared" si="13"/>
        <v>-885265500</v>
      </c>
      <c r="J167" s="99">
        <f t="shared" si="16"/>
        <v>0</v>
      </c>
      <c r="K167" s="99">
        <f t="shared" si="17"/>
        <v>-885265500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277</v>
      </c>
      <c r="H168" s="99">
        <f t="shared" si="15"/>
        <v>0</v>
      </c>
      <c r="I168" s="99">
        <f t="shared" si="13"/>
        <v>-831249300</v>
      </c>
      <c r="J168" s="99">
        <f t="shared" si="16"/>
        <v>0</v>
      </c>
      <c r="K168" s="99">
        <f t="shared" si="17"/>
        <v>-831249300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269</v>
      </c>
      <c r="H169" s="99">
        <f t="shared" si="15"/>
        <v>1</v>
      </c>
      <c r="I169" s="99">
        <f t="shared" si="13"/>
        <v>5816940</v>
      </c>
      <c r="J169" s="99">
        <f t="shared" si="16"/>
        <v>18362020</v>
      </c>
      <c r="K169" s="99">
        <f t="shared" si="17"/>
        <v>-12545080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245</v>
      </c>
      <c r="H170" s="99">
        <f t="shared" si="15"/>
        <v>1</v>
      </c>
      <c r="I170" s="99">
        <f t="shared" si="13"/>
        <v>1220000000</v>
      </c>
      <c r="J170" s="99">
        <f t="shared" si="16"/>
        <v>0</v>
      </c>
      <c r="K170" s="99">
        <f t="shared" si="17"/>
        <v>1220000000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244</v>
      </c>
      <c r="H171" s="99">
        <f t="shared" si="15"/>
        <v>0</v>
      </c>
      <c r="I171" s="99">
        <f t="shared" si="13"/>
        <v>-1220000000</v>
      </c>
      <c r="J171" s="99">
        <f t="shared" si="16"/>
        <v>0</v>
      </c>
      <c r="K171" s="99">
        <f t="shared" si="17"/>
        <v>-1220000000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238</v>
      </c>
      <c r="H172" s="99">
        <f t="shared" si="15"/>
        <v>1</v>
      </c>
      <c r="I172" s="99">
        <f t="shared" si="13"/>
        <v>117552</v>
      </c>
      <c r="J172" s="99">
        <f t="shared" si="16"/>
        <v>14855397</v>
      </c>
      <c r="K172" s="99">
        <f t="shared" si="17"/>
        <v>-14737845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237</v>
      </c>
      <c r="H173" s="99">
        <f t="shared" si="15"/>
        <v>1</v>
      </c>
      <c r="I173" s="99">
        <f t="shared" si="13"/>
        <v>185260000</v>
      </c>
      <c r="J173" s="99">
        <f t="shared" si="16"/>
        <v>0</v>
      </c>
      <c r="K173" s="99">
        <f t="shared" si="17"/>
        <v>185260000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226</v>
      </c>
      <c r="H174" s="99">
        <f t="shared" si="15"/>
        <v>0</v>
      </c>
      <c r="I174" s="99">
        <f t="shared" si="13"/>
        <v>-7232000</v>
      </c>
      <c r="J174" s="99">
        <f t="shared" si="16"/>
        <v>0</v>
      </c>
      <c r="K174" s="99">
        <f t="shared" si="17"/>
        <v>-7232000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224</v>
      </c>
      <c r="H175" s="99">
        <f t="shared" si="15"/>
        <v>0</v>
      </c>
      <c r="I175" s="99">
        <f t="shared" si="13"/>
        <v>-168000000</v>
      </c>
      <c r="J175" s="99">
        <f t="shared" si="16"/>
        <v>0</v>
      </c>
      <c r="K175" s="99">
        <f t="shared" si="17"/>
        <v>-168000000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215</v>
      </c>
      <c r="H176" s="99">
        <f t="shared" si="15"/>
        <v>0</v>
      </c>
      <c r="I176" s="99">
        <f t="shared" si="13"/>
        <v>-2020140</v>
      </c>
      <c r="J176" s="99">
        <f t="shared" si="16"/>
        <v>0</v>
      </c>
      <c r="K176" s="99">
        <f t="shared" si="17"/>
        <v>-2020140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214</v>
      </c>
      <c r="H177" s="99">
        <f t="shared" si="15"/>
        <v>0</v>
      </c>
      <c r="I177" s="99">
        <f t="shared" si="13"/>
        <v>-9266200</v>
      </c>
      <c r="J177" s="99">
        <f t="shared" si="16"/>
        <v>0</v>
      </c>
      <c r="K177" s="99">
        <f t="shared" si="17"/>
        <v>-9266200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211</v>
      </c>
      <c r="H178" s="99">
        <f t="shared" si="15"/>
        <v>1</v>
      </c>
      <c r="I178" s="99">
        <f t="shared" si="13"/>
        <v>75600000</v>
      </c>
      <c r="J178" s="99">
        <f t="shared" si="16"/>
        <v>0</v>
      </c>
      <c r="K178" s="99">
        <f t="shared" si="17"/>
        <v>75600000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209</v>
      </c>
      <c r="H179" s="99">
        <f t="shared" si="15"/>
        <v>1</v>
      </c>
      <c r="I179" s="99">
        <f t="shared" si="13"/>
        <v>624000000</v>
      </c>
      <c r="J179" s="99">
        <f t="shared" si="16"/>
        <v>0</v>
      </c>
      <c r="K179" s="99">
        <f t="shared" si="17"/>
        <v>624000000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209</v>
      </c>
      <c r="H180" s="99">
        <f t="shared" si="15"/>
        <v>0</v>
      </c>
      <c r="I180" s="99">
        <f t="shared" si="13"/>
        <v>-2518450</v>
      </c>
      <c r="J180" s="99">
        <f t="shared" si="16"/>
        <v>0</v>
      </c>
      <c r="K180" s="99">
        <f t="shared" si="17"/>
        <v>-2518450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207</v>
      </c>
      <c r="H181" s="99">
        <f t="shared" si="15"/>
        <v>1</v>
      </c>
      <c r="I181" s="99">
        <f t="shared" si="13"/>
        <v>618000000</v>
      </c>
      <c r="J181" s="99">
        <f t="shared" si="16"/>
        <v>0</v>
      </c>
      <c r="K181" s="99">
        <f t="shared" si="17"/>
        <v>618000000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205</v>
      </c>
      <c r="H182" s="99">
        <f t="shared" si="15"/>
        <v>0</v>
      </c>
      <c r="I182" s="99">
        <f t="shared" si="13"/>
        <v>-7339000</v>
      </c>
      <c r="J182" s="99">
        <f t="shared" si="16"/>
        <v>0</v>
      </c>
      <c r="K182" s="99">
        <f t="shared" si="17"/>
        <v>-7339000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204</v>
      </c>
      <c r="H183" s="99">
        <f t="shared" si="15"/>
        <v>1</v>
      </c>
      <c r="I183" s="99">
        <f t="shared" si="13"/>
        <v>730800000</v>
      </c>
      <c r="J183" s="99">
        <f t="shared" si="16"/>
        <v>0</v>
      </c>
      <c r="K183" s="99">
        <f t="shared" si="17"/>
        <v>730800000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204</v>
      </c>
      <c r="H184" s="99">
        <f t="shared" si="15"/>
        <v>0</v>
      </c>
      <c r="I184" s="99">
        <f t="shared" si="13"/>
        <v>-6808908</v>
      </c>
      <c r="J184" s="99">
        <f t="shared" si="16"/>
        <v>0</v>
      </c>
      <c r="K184" s="99">
        <f t="shared" si="17"/>
        <v>-6808908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201</v>
      </c>
      <c r="H185" s="99">
        <f t="shared" si="15"/>
        <v>0</v>
      </c>
      <c r="I185" s="99">
        <f t="shared" si="13"/>
        <v>-1969800000</v>
      </c>
      <c r="J185" s="99">
        <f t="shared" si="16"/>
        <v>0</v>
      </c>
      <c r="K185" s="99">
        <f t="shared" si="17"/>
        <v>-1969800000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201</v>
      </c>
      <c r="H186" s="99">
        <f t="shared" si="15"/>
        <v>1</v>
      </c>
      <c r="I186" s="99">
        <f t="shared" si="13"/>
        <v>3600000000</v>
      </c>
      <c r="J186" s="99">
        <f t="shared" si="16"/>
        <v>0</v>
      </c>
      <c r="K186" s="99">
        <f t="shared" si="17"/>
        <v>3600000000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201</v>
      </c>
      <c r="H187" s="99">
        <f t="shared" si="15"/>
        <v>0</v>
      </c>
      <c r="I187" s="99">
        <f t="shared" si="13"/>
        <v>-1809000000</v>
      </c>
      <c r="J187" s="99">
        <f t="shared" si="16"/>
        <v>0</v>
      </c>
      <c r="K187" s="99">
        <f t="shared" si="17"/>
        <v>-1809000000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201</v>
      </c>
      <c r="H188" s="99">
        <f t="shared" si="15"/>
        <v>0</v>
      </c>
      <c r="I188" s="99">
        <f t="shared" si="13"/>
        <v>-2331600</v>
      </c>
      <c r="J188" s="99">
        <f t="shared" si="16"/>
        <v>0</v>
      </c>
      <c r="K188" s="99">
        <f t="shared" si="17"/>
        <v>-2331600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201</v>
      </c>
      <c r="H189" s="99">
        <f t="shared" si="15"/>
        <v>0</v>
      </c>
      <c r="I189" s="99">
        <f t="shared" si="13"/>
        <v>-664169727</v>
      </c>
      <c r="J189" s="99">
        <f t="shared" si="16"/>
        <v>0</v>
      </c>
      <c r="K189" s="99">
        <f t="shared" si="17"/>
        <v>-664169727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200</v>
      </c>
      <c r="H190" s="99">
        <f t="shared" si="15"/>
        <v>0</v>
      </c>
      <c r="I190" s="99">
        <f t="shared" si="13"/>
        <v>-600180000</v>
      </c>
      <c r="J190" s="99">
        <f t="shared" si="16"/>
        <v>0</v>
      </c>
      <c r="K190" s="99">
        <f t="shared" si="17"/>
        <v>-600180000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199</v>
      </c>
      <c r="H191" s="99">
        <f t="shared" si="15"/>
        <v>0</v>
      </c>
      <c r="I191" s="99">
        <f t="shared" si="13"/>
        <v>-549419100</v>
      </c>
      <c r="J191" s="99">
        <f t="shared" si="16"/>
        <v>0</v>
      </c>
      <c r="K191" s="99">
        <f t="shared" si="17"/>
        <v>-549419100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194</v>
      </c>
      <c r="H192" s="99">
        <f t="shared" si="15"/>
        <v>1</v>
      </c>
      <c r="I192" s="99">
        <f t="shared" si="13"/>
        <v>193000000</v>
      </c>
      <c r="J192" s="99">
        <f t="shared" si="16"/>
        <v>0</v>
      </c>
      <c r="K192" s="99">
        <f t="shared" si="17"/>
        <v>193000000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193</v>
      </c>
      <c r="H193" s="99">
        <f t="shared" si="15"/>
        <v>0</v>
      </c>
      <c r="I193" s="99">
        <f t="shared" si="13"/>
        <v>-2895000</v>
      </c>
      <c r="J193" s="99">
        <f t="shared" si="16"/>
        <v>0</v>
      </c>
      <c r="K193" s="99">
        <f t="shared" si="17"/>
        <v>-2895000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191</v>
      </c>
      <c r="H194" s="99">
        <f t="shared" si="15"/>
        <v>0</v>
      </c>
      <c r="I194" s="99">
        <f t="shared" si="13"/>
        <v>-189090000</v>
      </c>
      <c r="J194" s="99">
        <f t="shared" si="16"/>
        <v>0</v>
      </c>
      <c r="K194" s="99">
        <f t="shared" si="17"/>
        <v>-189090000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191</v>
      </c>
      <c r="H195" s="99">
        <f t="shared" si="15"/>
        <v>1</v>
      </c>
      <c r="I195" s="99">
        <f t="shared" si="13"/>
        <v>148770000</v>
      </c>
      <c r="J195" s="99">
        <f t="shared" si="16"/>
        <v>0</v>
      </c>
      <c r="K195" s="99">
        <f t="shared" si="17"/>
        <v>148770000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189</v>
      </c>
      <c r="H196" s="99">
        <f t="shared" si="15"/>
        <v>0</v>
      </c>
      <c r="I196" s="99">
        <f t="shared" si="13"/>
        <v>-141844500</v>
      </c>
      <c r="J196" s="99">
        <f t="shared" si="16"/>
        <v>0</v>
      </c>
      <c r="K196" s="99">
        <f t="shared" si="17"/>
        <v>-141844500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187</v>
      </c>
      <c r="H197" s="99">
        <f t="shared" si="15"/>
        <v>1</v>
      </c>
      <c r="I197" s="99">
        <f t="shared" si="13"/>
        <v>130200000</v>
      </c>
      <c r="J197" s="99">
        <f t="shared" si="16"/>
        <v>0</v>
      </c>
      <c r="K197" s="99">
        <f t="shared" si="17"/>
        <v>130200000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187</v>
      </c>
      <c r="H198" s="99">
        <f t="shared" si="15"/>
        <v>0</v>
      </c>
      <c r="I198" s="99">
        <f t="shared" si="13"/>
        <v>-18513000</v>
      </c>
      <c r="J198" s="99">
        <f t="shared" si="16"/>
        <v>0</v>
      </c>
      <c r="K198" s="99">
        <f t="shared" si="17"/>
        <v>-18513000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186</v>
      </c>
      <c r="H199" s="99">
        <f t="shared" si="15"/>
        <v>0</v>
      </c>
      <c r="I199" s="99">
        <f t="shared" si="13"/>
        <v>-38269500</v>
      </c>
      <c r="J199" s="99">
        <f t="shared" si="16"/>
        <v>0</v>
      </c>
      <c r="K199" s="99">
        <f t="shared" si="17"/>
        <v>-38269500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186</v>
      </c>
      <c r="H200" s="99">
        <f t="shared" si="15"/>
        <v>0</v>
      </c>
      <c r="I200" s="99">
        <f t="shared" si="13"/>
        <v>-17670000</v>
      </c>
      <c r="J200" s="99">
        <f t="shared" si="16"/>
        <v>0</v>
      </c>
      <c r="K200" s="99">
        <f t="shared" si="17"/>
        <v>-17670000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183</v>
      </c>
      <c r="H201" s="99">
        <f t="shared" si="15"/>
        <v>1</v>
      </c>
      <c r="I201" s="99">
        <f t="shared" si="13"/>
        <v>8854300000</v>
      </c>
      <c r="J201" s="99">
        <f t="shared" si="16"/>
        <v>0</v>
      </c>
      <c r="K201" s="99">
        <f t="shared" si="17"/>
        <v>8854300000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183</v>
      </c>
      <c r="H202" s="99">
        <f t="shared" si="15"/>
        <v>0</v>
      </c>
      <c r="I202" s="99">
        <f t="shared" si="13"/>
        <v>-549164700</v>
      </c>
      <c r="J202" s="99">
        <f t="shared" si="16"/>
        <v>0</v>
      </c>
      <c r="K202" s="99">
        <f t="shared" si="17"/>
        <v>-549164700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183</v>
      </c>
      <c r="H203" s="99">
        <f t="shared" si="15"/>
        <v>0</v>
      </c>
      <c r="I203" s="99">
        <f t="shared" si="13"/>
        <v>-915000</v>
      </c>
      <c r="J203" s="99">
        <f t="shared" si="16"/>
        <v>0</v>
      </c>
      <c r="K203" s="99">
        <f t="shared" si="17"/>
        <v>-915000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183</v>
      </c>
      <c r="H204" s="99">
        <f t="shared" si="15"/>
        <v>0</v>
      </c>
      <c r="I204" s="99">
        <f t="shared" si="13"/>
        <v>-6130500000</v>
      </c>
      <c r="J204" s="99">
        <f t="shared" si="16"/>
        <v>0</v>
      </c>
      <c r="K204" s="99">
        <f t="shared" si="17"/>
        <v>-6130500000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182</v>
      </c>
      <c r="H205" s="99">
        <f t="shared" si="15"/>
        <v>0</v>
      </c>
      <c r="I205" s="99">
        <f t="shared" si="13"/>
        <v>-2263170000</v>
      </c>
      <c r="J205" s="99">
        <f t="shared" si="16"/>
        <v>0</v>
      </c>
      <c r="K205" s="99">
        <f t="shared" si="17"/>
        <v>-2263170000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179</v>
      </c>
      <c r="H206" s="99">
        <f t="shared" si="15"/>
        <v>0</v>
      </c>
      <c r="I206" s="99">
        <f t="shared" si="13"/>
        <v>-3311500</v>
      </c>
      <c r="J206" s="99">
        <f t="shared" si="16"/>
        <v>0</v>
      </c>
      <c r="K206" s="99">
        <f t="shared" si="17"/>
        <v>-3311500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177</v>
      </c>
      <c r="H207" s="99">
        <f t="shared" si="15"/>
        <v>1</v>
      </c>
      <c r="I207" s="99">
        <f t="shared" si="13"/>
        <v>2548480</v>
      </c>
      <c r="J207" s="99">
        <f t="shared" ref="J207:J281" si="20">C207*(G207-H207)</f>
        <v>12473824</v>
      </c>
      <c r="K207" s="99">
        <f t="shared" si="17"/>
        <v>-9925344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176</v>
      </c>
      <c r="H208" s="99">
        <f t="shared" si="15"/>
        <v>1</v>
      </c>
      <c r="I208" s="99">
        <f t="shared" si="13"/>
        <v>145250000</v>
      </c>
      <c r="J208" s="99">
        <f t="shared" si="20"/>
        <v>0</v>
      </c>
      <c r="K208" s="99">
        <f t="shared" si="17"/>
        <v>145250000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174</v>
      </c>
      <c r="H209" s="99">
        <f t="shared" si="15"/>
        <v>0</v>
      </c>
      <c r="I209" s="99">
        <f t="shared" si="13"/>
        <v>-9124560</v>
      </c>
      <c r="J209" s="99">
        <f t="shared" si="20"/>
        <v>0</v>
      </c>
      <c r="K209" s="99">
        <f t="shared" si="17"/>
        <v>-9124560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173</v>
      </c>
      <c r="H210" s="99">
        <f t="shared" si="15"/>
        <v>0</v>
      </c>
      <c r="I210" s="99">
        <f t="shared" si="13"/>
        <v>-8840300</v>
      </c>
      <c r="J210" s="99">
        <f t="shared" si="20"/>
        <v>0</v>
      </c>
      <c r="K210" s="99">
        <f t="shared" si="17"/>
        <v>-8840300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172</v>
      </c>
      <c r="H211" s="99">
        <f t="shared" si="15"/>
        <v>0</v>
      </c>
      <c r="I211" s="99">
        <f t="shared" si="13"/>
        <v>-34400000</v>
      </c>
      <c r="J211" s="99">
        <f t="shared" si="20"/>
        <v>0</v>
      </c>
      <c r="K211" s="99">
        <f t="shared" si="17"/>
        <v>-34400000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171</v>
      </c>
      <c r="H212" s="99">
        <f t="shared" si="15"/>
        <v>0</v>
      </c>
      <c r="I212" s="99">
        <f t="shared" si="13"/>
        <v>-4788000</v>
      </c>
      <c r="J212" s="99">
        <f t="shared" si="20"/>
        <v>0</v>
      </c>
      <c r="K212" s="99">
        <f t="shared" si="17"/>
        <v>-4788000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170</v>
      </c>
      <c r="H213" s="99">
        <f t="shared" si="15"/>
        <v>0</v>
      </c>
      <c r="I213" s="99">
        <f t="shared" si="13"/>
        <v>-10047000</v>
      </c>
      <c r="J213" s="99">
        <f t="shared" si="20"/>
        <v>0</v>
      </c>
      <c r="K213" s="99">
        <f t="shared" si="17"/>
        <v>-10047000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169</v>
      </c>
      <c r="H214" s="99">
        <f t="shared" si="15"/>
        <v>0</v>
      </c>
      <c r="I214" s="99">
        <f t="shared" si="13"/>
        <v>-5070000</v>
      </c>
      <c r="J214" s="99">
        <f t="shared" si="20"/>
        <v>0</v>
      </c>
      <c r="K214" s="99">
        <f t="shared" si="17"/>
        <v>-5070000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169</v>
      </c>
      <c r="H215" s="99">
        <f t="shared" si="15"/>
        <v>0</v>
      </c>
      <c r="I215" s="99">
        <f t="shared" si="13"/>
        <v>-30082000</v>
      </c>
      <c r="J215" s="99">
        <f t="shared" si="20"/>
        <v>0</v>
      </c>
      <c r="K215" s="99">
        <f t="shared" si="17"/>
        <v>-30082000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168</v>
      </c>
      <c r="H216" s="99">
        <f t="shared" si="15"/>
        <v>0</v>
      </c>
      <c r="I216" s="99">
        <f t="shared" si="13"/>
        <v>-16062480</v>
      </c>
      <c r="J216" s="99">
        <f t="shared" si="20"/>
        <v>0</v>
      </c>
      <c r="K216" s="99">
        <f t="shared" si="17"/>
        <v>-16062480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165</v>
      </c>
      <c r="H217" s="99">
        <f t="shared" si="15"/>
        <v>0</v>
      </c>
      <c r="I217" s="99">
        <f t="shared" si="13"/>
        <v>-13860000</v>
      </c>
      <c r="J217" s="99">
        <f t="shared" si="20"/>
        <v>0</v>
      </c>
      <c r="K217" s="99">
        <f t="shared" si="17"/>
        <v>-13860000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163</v>
      </c>
      <c r="H218" s="99">
        <f t="shared" si="15"/>
        <v>0</v>
      </c>
      <c r="I218" s="99">
        <f t="shared" si="13"/>
        <v>-5379000</v>
      </c>
      <c r="J218" s="99">
        <f t="shared" si="20"/>
        <v>0</v>
      </c>
      <c r="K218" s="99">
        <f t="shared" si="17"/>
        <v>-5379000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160</v>
      </c>
      <c r="H219" s="99">
        <f t="shared" si="15"/>
        <v>1</v>
      </c>
      <c r="I219" s="99">
        <f t="shared" si="13"/>
        <v>246132000</v>
      </c>
      <c r="J219" s="99">
        <f t="shared" si="20"/>
        <v>0</v>
      </c>
      <c r="K219" s="99">
        <f t="shared" si="17"/>
        <v>246132000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159</v>
      </c>
      <c r="H220" s="99">
        <f t="shared" si="15"/>
        <v>0</v>
      </c>
      <c r="I220" s="99">
        <f t="shared" si="13"/>
        <v>-222711300</v>
      </c>
      <c r="J220" s="99">
        <f t="shared" si="20"/>
        <v>0</v>
      </c>
      <c r="K220" s="99">
        <f t="shared" si="17"/>
        <v>-222711300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159</v>
      </c>
      <c r="H221" s="99">
        <f t="shared" si="15"/>
        <v>0</v>
      </c>
      <c r="I221" s="99">
        <f t="shared" si="13"/>
        <v>-1590000</v>
      </c>
      <c r="J221" s="99">
        <f t="shared" si="20"/>
        <v>0</v>
      </c>
      <c r="K221" s="99">
        <f t="shared" si="17"/>
        <v>-1590000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159</v>
      </c>
      <c r="H222" s="99">
        <f t="shared" si="15"/>
        <v>0</v>
      </c>
      <c r="I222" s="99">
        <f t="shared" si="13"/>
        <v>-795000</v>
      </c>
      <c r="J222" s="99">
        <f t="shared" si="20"/>
        <v>-397500</v>
      </c>
      <c r="K222" s="99">
        <f t="shared" si="17"/>
        <v>-397500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153</v>
      </c>
      <c r="H223" s="99">
        <f t="shared" si="15"/>
        <v>0</v>
      </c>
      <c r="I223" s="99">
        <f t="shared" si="13"/>
        <v>-29070000</v>
      </c>
      <c r="J223" s="99">
        <f t="shared" si="20"/>
        <v>0</v>
      </c>
      <c r="K223" s="99">
        <f t="shared" si="17"/>
        <v>-29070000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146</v>
      </c>
      <c r="H224" s="99">
        <f t="shared" si="15"/>
        <v>1</v>
      </c>
      <c r="I224" s="99">
        <f t="shared" si="13"/>
        <v>277095</v>
      </c>
      <c r="J224" s="99">
        <f t="shared" si="20"/>
        <v>9420940</v>
      </c>
      <c r="K224" s="99">
        <f t="shared" si="17"/>
        <v>-9143845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140</v>
      </c>
      <c r="H225" s="99">
        <f t="shared" si="15"/>
        <v>1</v>
      </c>
      <c r="I225" s="99">
        <f t="shared" si="13"/>
        <v>695000000</v>
      </c>
      <c r="J225" s="99">
        <f t="shared" si="20"/>
        <v>0</v>
      </c>
      <c r="K225" s="99">
        <f t="shared" si="17"/>
        <v>695000000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139</v>
      </c>
      <c r="H226" s="99">
        <f t="shared" si="15"/>
        <v>0</v>
      </c>
      <c r="I226" s="99">
        <f t="shared" si="13"/>
        <v>-444800000</v>
      </c>
      <c r="J226" s="99">
        <f t="shared" si="20"/>
        <v>0</v>
      </c>
      <c r="K226" s="99">
        <f t="shared" si="17"/>
        <v>-444800000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139</v>
      </c>
      <c r="H227" s="99">
        <f t="shared" si="15"/>
        <v>1</v>
      </c>
      <c r="I227" s="99">
        <f t="shared" si="13"/>
        <v>331200000</v>
      </c>
      <c r="J227" s="99">
        <f t="shared" si="20"/>
        <v>0</v>
      </c>
      <c r="K227" s="99">
        <f t="shared" si="17"/>
        <v>331200000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137</v>
      </c>
      <c r="H228" s="99">
        <f t="shared" si="15"/>
        <v>0</v>
      </c>
      <c r="I228" s="99">
        <f t="shared" si="13"/>
        <v>-6850000</v>
      </c>
      <c r="J228" s="99">
        <f t="shared" si="20"/>
        <v>0</v>
      </c>
      <c r="K228" s="99">
        <f t="shared" si="17"/>
        <v>-6850000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136</v>
      </c>
      <c r="H229" s="99">
        <f t="shared" si="15"/>
        <v>0</v>
      </c>
      <c r="I229" s="99">
        <f t="shared" si="13"/>
        <v>-557695200</v>
      </c>
      <c r="J229" s="99">
        <f t="shared" si="20"/>
        <v>0</v>
      </c>
      <c r="K229" s="99">
        <f t="shared" si="17"/>
        <v>-557695200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132</v>
      </c>
      <c r="H230" s="99">
        <f t="shared" si="15"/>
        <v>1</v>
      </c>
      <c r="I230" s="99">
        <f t="shared" si="13"/>
        <v>1270700000</v>
      </c>
      <c r="J230" s="99">
        <f t="shared" si="20"/>
        <v>0</v>
      </c>
      <c r="K230" s="99">
        <f t="shared" si="17"/>
        <v>1270700000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132</v>
      </c>
      <c r="H231" s="99">
        <f t="shared" si="15"/>
        <v>0</v>
      </c>
      <c r="I231" s="99">
        <f t="shared" si="13"/>
        <v>-396118800</v>
      </c>
      <c r="J231" s="99">
        <f t="shared" si="20"/>
        <v>0</v>
      </c>
      <c r="K231" s="99">
        <f t="shared" si="17"/>
        <v>-396118800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131</v>
      </c>
      <c r="H232" s="99">
        <f t="shared" si="15"/>
        <v>0</v>
      </c>
      <c r="I232" s="99">
        <f t="shared" si="13"/>
        <v>-393117900</v>
      </c>
      <c r="J232" s="99">
        <f t="shared" si="20"/>
        <v>0</v>
      </c>
      <c r="K232" s="99">
        <f t="shared" si="17"/>
        <v>-393117900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131</v>
      </c>
      <c r="H233" s="99">
        <f t="shared" si="15"/>
        <v>0</v>
      </c>
      <c r="I233" s="99">
        <f t="shared" si="13"/>
        <v>-72705000</v>
      </c>
      <c r="J233" s="99">
        <f t="shared" si="20"/>
        <v>0</v>
      </c>
      <c r="K233" s="99">
        <f t="shared" si="17"/>
        <v>-72705000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130</v>
      </c>
      <c r="H234" s="99">
        <f t="shared" si="15"/>
        <v>0</v>
      </c>
      <c r="I234" s="99">
        <f t="shared" si="13"/>
        <v>-17986800</v>
      </c>
      <c r="J234" s="99">
        <f t="shared" si="20"/>
        <v>0</v>
      </c>
      <c r="K234" s="99">
        <f t="shared" si="17"/>
        <v>-17986800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129</v>
      </c>
      <c r="H235" s="99">
        <f t="shared" si="15"/>
        <v>0</v>
      </c>
      <c r="I235" s="99">
        <f t="shared" si="13"/>
        <v>-387116100</v>
      </c>
      <c r="J235" s="99">
        <f t="shared" si="20"/>
        <v>0</v>
      </c>
      <c r="K235" s="99">
        <f t="shared" si="17"/>
        <v>-387116100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127</v>
      </c>
      <c r="H236" s="99">
        <f t="shared" si="15"/>
        <v>0</v>
      </c>
      <c r="I236" s="99">
        <f t="shared" si="13"/>
        <v>-6985000</v>
      </c>
      <c r="J236" s="99">
        <f t="shared" si="20"/>
        <v>0</v>
      </c>
      <c r="K236" s="99">
        <f t="shared" si="17"/>
        <v>-6985000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123</v>
      </c>
      <c r="H237" s="99">
        <f t="shared" si="15"/>
        <v>1</v>
      </c>
      <c r="I237" s="99">
        <f t="shared" si="13"/>
        <v>736270000</v>
      </c>
      <c r="J237" s="99">
        <f t="shared" si="20"/>
        <v>0</v>
      </c>
      <c r="K237" s="99">
        <f t="shared" si="17"/>
        <v>736270000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121</v>
      </c>
      <c r="H238" s="99">
        <f t="shared" si="15"/>
        <v>0</v>
      </c>
      <c r="I238" s="99">
        <f t="shared" si="13"/>
        <v>-907500</v>
      </c>
      <c r="J238" s="99">
        <f t="shared" si="20"/>
        <v>0</v>
      </c>
      <c r="K238" s="99">
        <f t="shared" si="17"/>
        <v>-907500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120</v>
      </c>
      <c r="H239" s="99">
        <f t="shared" si="15"/>
        <v>0</v>
      </c>
      <c r="I239" s="99">
        <f t="shared" si="13"/>
        <v>-491822760</v>
      </c>
      <c r="J239" s="99">
        <f t="shared" si="20"/>
        <v>0</v>
      </c>
      <c r="K239" s="99">
        <f t="shared" si="17"/>
        <v>-491822760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120</v>
      </c>
      <c r="H240" s="99">
        <f t="shared" si="15"/>
        <v>0</v>
      </c>
      <c r="I240" s="99">
        <f t="shared" si="13"/>
        <v>-3987000</v>
      </c>
      <c r="J240" s="99">
        <f t="shared" si="20"/>
        <v>0</v>
      </c>
      <c r="K240" s="99">
        <f t="shared" si="17"/>
        <v>-3987000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120</v>
      </c>
      <c r="H241" s="99">
        <f t="shared" si="15"/>
        <v>0</v>
      </c>
      <c r="I241" s="99">
        <f t="shared" si="13"/>
        <v>-227400000</v>
      </c>
      <c r="J241" s="99">
        <f t="shared" si="20"/>
        <v>0</v>
      </c>
      <c r="K241" s="99">
        <f t="shared" si="17"/>
        <v>-227400000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113</v>
      </c>
      <c r="H242" s="99">
        <f t="shared" si="15"/>
        <v>1</v>
      </c>
      <c r="I242" s="99">
        <f t="shared" si="13"/>
        <v>280000000</v>
      </c>
      <c r="J242" s="99">
        <f t="shared" si="20"/>
        <v>0</v>
      </c>
      <c r="K242" s="99">
        <f t="shared" si="17"/>
        <v>280000000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111</v>
      </c>
      <c r="H243" s="99">
        <f t="shared" si="15"/>
        <v>0</v>
      </c>
      <c r="I243" s="99">
        <f t="shared" si="13"/>
        <v>-277500000</v>
      </c>
      <c r="J243" s="99">
        <f t="shared" si="20"/>
        <v>0</v>
      </c>
      <c r="K243" s="99">
        <f t="shared" si="17"/>
        <v>-277500000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109</v>
      </c>
      <c r="H244" s="99">
        <f t="shared" si="15"/>
        <v>1</v>
      </c>
      <c r="I244" s="99">
        <f t="shared" si="13"/>
        <v>118800000</v>
      </c>
      <c r="J244" s="99">
        <f t="shared" si="20"/>
        <v>0</v>
      </c>
      <c r="K244" s="99">
        <f t="shared" si="17"/>
        <v>118800000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107</v>
      </c>
      <c r="H245" s="99">
        <f t="shared" si="15"/>
        <v>1</v>
      </c>
      <c r="I245" s="99">
        <f t="shared" si="13"/>
        <v>318000000</v>
      </c>
      <c r="J245" s="99">
        <f t="shared" si="20"/>
        <v>0</v>
      </c>
      <c r="K245" s="99">
        <f t="shared" si="17"/>
        <v>318000000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105</v>
      </c>
      <c r="H246" s="99">
        <f t="shared" si="15"/>
        <v>0</v>
      </c>
      <c r="I246" s="99">
        <f t="shared" si="13"/>
        <v>-424273500</v>
      </c>
      <c r="J246" s="99">
        <f t="shared" si="20"/>
        <v>0</v>
      </c>
      <c r="K246" s="99">
        <f t="shared" si="17"/>
        <v>-424273500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105</v>
      </c>
      <c r="H247" s="99">
        <f t="shared" si="15"/>
        <v>1</v>
      </c>
      <c r="I247" s="99">
        <f t="shared" si="13"/>
        <v>50960000</v>
      </c>
      <c r="J247" s="99">
        <f t="shared" si="20"/>
        <v>0</v>
      </c>
      <c r="K247" s="99">
        <f t="shared" si="17"/>
        <v>50960000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104</v>
      </c>
      <c r="H248" s="99">
        <f t="shared" si="15"/>
        <v>1</v>
      </c>
      <c r="I248" s="99">
        <f t="shared" si="13"/>
        <v>144200000</v>
      </c>
      <c r="J248" s="99">
        <f t="shared" si="20"/>
        <v>0</v>
      </c>
      <c r="K248" s="99">
        <f t="shared" si="17"/>
        <v>144200000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104</v>
      </c>
      <c r="H249" s="99">
        <f t="shared" si="15"/>
        <v>0</v>
      </c>
      <c r="I249" s="99">
        <f t="shared" si="13"/>
        <v>-156000000</v>
      </c>
      <c r="J249" s="99">
        <f t="shared" si="20"/>
        <v>0</v>
      </c>
      <c r="K249" s="99">
        <f t="shared" si="17"/>
        <v>-156000000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103</v>
      </c>
      <c r="H250" s="99">
        <f t="shared" si="15"/>
        <v>0</v>
      </c>
      <c r="I250" s="99">
        <f t="shared" si="13"/>
        <v>-10300000</v>
      </c>
      <c r="J250" s="99">
        <f t="shared" si="20"/>
        <v>0</v>
      </c>
      <c r="K250" s="99">
        <f t="shared" si="17"/>
        <v>-10300000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102</v>
      </c>
      <c r="H251" s="99">
        <f t="shared" si="15"/>
        <v>0</v>
      </c>
      <c r="I251" s="99">
        <f t="shared" si="13"/>
        <v>-1417800</v>
      </c>
      <c r="J251" s="99">
        <f t="shared" si="20"/>
        <v>0</v>
      </c>
      <c r="K251" s="99">
        <f t="shared" si="17"/>
        <v>-1417800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102</v>
      </c>
      <c r="H252" s="99">
        <f t="shared" si="15"/>
        <v>1</v>
      </c>
      <c r="I252" s="99">
        <f t="shared" si="13"/>
        <v>30300000</v>
      </c>
      <c r="J252" s="99">
        <f t="shared" si="20"/>
        <v>0</v>
      </c>
      <c r="K252" s="99">
        <f t="shared" si="17"/>
        <v>30300000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100</v>
      </c>
      <c r="H253" s="99">
        <f t="shared" si="15"/>
        <v>1</v>
      </c>
      <c r="I253" s="99">
        <f t="shared" si="13"/>
        <v>1188000000</v>
      </c>
      <c r="J253" s="99">
        <f t="shared" si="20"/>
        <v>0</v>
      </c>
      <c r="K253" s="99">
        <f t="shared" si="17"/>
        <v>1188000000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99</v>
      </c>
      <c r="H254" s="99">
        <f t="shared" si="15"/>
        <v>1</v>
      </c>
      <c r="I254" s="99">
        <f t="shared" si="13"/>
        <v>294000000</v>
      </c>
      <c r="J254" s="99">
        <f t="shared" si="20"/>
        <v>0</v>
      </c>
      <c r="K254" s="99">
        <f t="shared" si="17"/>
        <v>294000000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98</v>
      </c>
      <c r="H255" s="99">
        <f t="shared" si="15"/>
        <v>0</v>
      </c>
      <c r="I255" s="99">
        <f t="shared" si="13"/>
        <v>-1372000000</v>
      </c>
      <c r="J255" s="99">
        <f t="shared" si="20"/>
        <v>0</v>
      </c>
      <c r="K255" s="99">
        <f t="shared" si="17"/>
        <v>-1372000000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97</v>
      </c>
      <c r="H256" s="99">
        <f t="shared" si="15"/>
        <v>0</v>
      </c>
      <c r="I256" s="99">
        <f t="shared" si="13"/>
        <v>-12121993</v>
      </c>
      <c r="J256" s="99">
        <f t="shared" si="20"/>
        <v>0</v>
      </c>
      <c r="K256" s="99">
        <f t="shared" si="17"/>
        <v>-12121993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97</v>
      </c>
      <c r="H257" s="99">
        <f t="shared" si="15"/>
        <v>0</v>
      </c>
      <c r="I257" s="99">
        <f t="shared" si="13"/>
        <v>0</v>
      </c>
      <c r="J257" s="99">
        <f t="shared" si="20"/>
        <v>-772972533</v>
      </c>
      <c r="K257" s="99">
        <f t="shared" si="17"/>
        <v>772972533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96</v>
      </c>
      <c r="H258" s="99">
        <f t="shared" si="15"/>
        <v>0</v>
      </c>
      <c r="I258" s="99">
        <f t="shared" si="13"/>
        <v>-126048000</v>
      </c>
      <c r="J258" s="99">
        <f t="shared" si="20"/>
        <v>0</v>
      </c>
      <c r="K258" s="99">
        <f t="shared" si="17"/>
        <v>-126048000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93</v>
      </c>
      <c r="H259" s="99">
        <f t="shared" si="15"/>
        <v>1</v>
      </c>
      <c r="I259" s="99">
        <f t="shared" si="13"/>
        <v>184000000</v>
      </c>
      <c r="J259" s="99">
        <f t="shared" si="20"/>
        <v>0</v>
      </c>
      <c r="K259" s="99">
        <f t="shared" si="17"/>
        <v>184000000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92</v>
      </c>
      <c r="H260" s="99">
        <f t="shared" si="15"/>
        <v>0</v>
      </c>
      <c r="I260" s="99">
        <f t="shared" si="13"/>
        <v>-174800000</v>
      </c>
      <c r="J260" s="99">
        <f t="shared" si="20"/>
        <v>0</v>
      </c>
      <c r="K260" s="99">
        <f t="shared" si="17"/>
        <v>-174800000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92</v>
      </c>
      <c r="H261" s="99">
        <f t="shared" si="15"/>
        <v>0</v>
      </c>
      <c r="I261" s="99">
        <f t="shared" si="13"/>
        <v>-9246000</v>
      </c>
      <c r="J261" s="99">
        <f t="shared" si="20"/>
        <v>0</v>
      </c>
      <c r="K261" s="99">
        <f t="shared" si="17"/>
        <v>-9246000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92</v>
      </c>
      <c r="H262" s="99">
        <f t="shared" si="15"/>
        <v>0</v>
      </c>
      <c r="I262" s="99">
        <f t="shared" si="13"/>
        <v>-6317640</v>
      </c>
      <c r="J262" s="99">
        <f t="shared" si="20"/>
        <v>0</v>
      </c>
      <c r="K262" s="99">
        <f t="shared" si="17"/>
        <v>-6317640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91</v>
      </c>
      <c r="H263" s="99">
        <f t="shared" si="15"/>
        <v>0</v>
      </c>
      <c r="I263" s="99">
        <f t="shared" si="13"/>
        <v>-10792600</v>
      </c>
      <c r="J263" s="99">
        <f t="shared" si="20"/>
        <v>0</v>
      </c>
      <c r="K263" s="99">
        <f t="shared" si="17"/>
        <v>-10792600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89</v>
      </c>
      <c r="H264" s="99">
        <f t="shared" si="15"/>
        <v>1</v>
      </c>
      <c r="I264" s="99">
        <f t="shared" si="13"/>
        <v>596552000</v>
      </c>
      <c r="J264" s="99">
        <f t="shared" si="20"/>
        <v>0</v>
      </c>
      <c r="K264" s="99">
        <f t="shared" si="17"/>
        <v>596552000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89</v>
      </c>
      <c r="H265" s="99">
        <f t="shared" si="15"/>
        <v>0</v>
      </c>
      <c r="I265" s="99">
        <f t="shared" si="13"/>
        <v>-569600000</v>
      </c>
      <c r="J265" s="99">
        <f t="shared" si="20"/>
        <v>0</v>
      </c>
      <c r="K265" s="99">
        <f t="shared" si="17"/>
        <v>-569600000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89</v>
      </c>
      <c r="H266" s="99">
        <f t="shared" si="15"/>
        <v>0</v>
      </c>
      <c r="I266" s="99">
        <f t="shared" si="13"/>
        <v>-34621000</v>
      </c>
      <c r="J266" s="99">
        <f t="shared" si="20"/>
        <v>0</v>
      </c>
      <c r="K266" s="99">
        <f t="shared" si="17"/>
        <v>-34621000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85</v>
      </c>
      <c r="H267" s="99">
        <f t="shared" si="15"/>
        <v>1</v>
      </c>
      <c r="I267" s="99">
        <f t="shared" si="13"/>
        <v>18480000</v>
      </c>
      <c r="J267" s="99">
        <f t="shared" si="20"/>
        <v>0</v>
      </c>
      <c r="K267" s="99">
        <f t="shared" si="17"/>
        <v>18480000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85</v>
      </c>
      <c r="H268" s="99">
        <f t="shared" si="15"/>
        <v>0</v>
      </c>
      <c r="I268" s="99">
        <f t="shared" si="13"/>
        <v>-9298150</v>
      </c>
      <c r="J268" s="99">
        <f t="shared" si="20"/>
        <v>0</v>
      </c>
      <c r="K268" s="99">
        <f t="shared" si="17"/>
        <v>-9298150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83</v>
      </c>
      <c r="H269" s="99">
        <f t="shared" si="15"/>
        <v>1</v>
      </c>
      <c r="I269" s="99">
        <f t="shared" si="13"/>
        <v>8200000</v>
      </c>
      <c r="J269" s="99">
        <f t="shared" si="20"/>
        <v>0</v>
      </c>
      <c r="K269" s="99">
        <f t="shared" si="17"/>
        <v>8200000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83</v>
      </c>
      <c r="H270" s="99">
        <f t="shared" si="15"/>
        <v>1</v>
      </c>
      <c r="I270" s="99">
        <f t="shared" si="13"/>
        <v>213200000</v>
      </c>
      <c r="J270" s="99">
        <f t="shared" si="20"/>
        <v>0</v>
      </c>
      <c r="K270" s="99">
        <f t="shared" si="17"/>
        <v>213200000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82</v>
      </c>
      <c r="H271" s="99">
        <f t="shared" si="15"/>
        <v>1</v>
      </c>
      <c r="I271" s="99">
        <f t="shared" si="13"/>
        <v>356400000</v>
      </c>
      <c r="J271" s="99">
        <f t="shared" si="20"/>
        <v>0</v>
      </c>
      <c r="K271" s="99">
        <f t="shared" si="17"/>
        <v>356400000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82</v>
      </c>
      <c r="H272" s="99">
        <f t="shared" si="15"/>
        <v>0</v>
      </c>
      <c r="I272" s="99">
        <f t="shared" si="13"/>
        <v>-7790000</v>
      </c>
      <c r="J272" s="99">
        <f t="shared" si="20"/>
        <v>0</v>
      </c>
      <c r="K272" s="99">
        <f t="shared" si="17"/>
        <v>-7790000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81</v>
      </c>
      <c r="H273" s="99">
        <f t="shared" si="15"/>
        <v>0</v>
      </c>
      <c r="I273" s="99">
        <f t="shared" si="13"/>
        <v>-72900000</v>
      </c>
      <c r="J273" s="99">
        <f t="shared" si="20"/>
        <v>0</v>
      </c>
      <c r="K273" s="99">
        <f t="shared" si="17"/>
        <v>-72900000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80</v>
      </c>
      <c r="H274" s="99">
        <f t="shared" si="15"/>
        <v>1</v>
      </c>
      <c r="I274" s="99">
        <f t="shared" si="13"/>
        <v>197500000</v>
      </c>
      <c r="J274" s="99">
        <f t="shared" si="20"/>
        <v>0</v>
      </c>
      <c r="K274" s="99">
        <f t="shared" si="17"/>
        <v>197500000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80</v>
      </c>
      <c r="H275" s="99">
        <f t="shared" si="15"/>
        <v>0</v>
      </c>
      <c r="I275" s="99">
        <f t="shared" si="13"/>
        <v>-102960000</v>
      </c>
      <c r="J275" s="99">
        <f t="shared" si="20"/>
        <v>0</v>
      </c>
      <c r="K275" s="99">
        <f t="shared" si="17"/>
        <v>-102960000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78</v>
      </c>
      <c r="H276" s="99">
        <f t="shared" si="15"/>
        <v>1</v>
      </c>
      <c r="I276" s="99">
        <f t="shared" si="13"/>
        <v>292600000</v>
      </c>
      <c r="J276" s="99">
        <f t="shared" si="20"/>
        <v>0</v>
      </c>
      <c r="K276" s="99">
        <f t="shared" si="17"/>
        <v>292600000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77</v>
      </c>
      <c r="H277" s="99">
        <f t="shared" si="15"/>
        <v>1</v>
      </c>
      <c r="I277" s="99">
        <f t="shared" si="13"/>
        <v>1596000000</v>
      </c>
      <c r="J277" s="99">
        <f t="shared" si="20"/>
        <v>0</v>
      </c>
      <c r="K277" s="99">
        <f t="shared" si="17"/>
        <v>1596000000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76</v>
      </c>
      <c r="H278" s="99">
        <f t="shared" si="15"/>
        <v>1</v>
      </c>
      <c r="I278" s="99">
        <f t="shared" si="13"/>
        <v>225000000</v>
      </c>
      <c r="J278" s="99">
        <f t="shared" si="20"/>
        <v>0</v>
      </c>
      <c r="K278" s="99">
        <f t="shared" si="17"/>
        <v>225000000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76</v>
      </c>
      <c r="H279" s="99">
        <f t="shared" si="15"/>
        <v>1</v>
      </c>
      <c r="I279" s="99">
        <f t="shared" si="13"/>
        <v>150000000</v>
      </c>
      <c r="J279" s="99">
        <f t="shared" si="20"/>
        <v>0</v>
      </c>
      <c r="K279" s="99">
        <f t="shared" si="17"/>
        <v>150000000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75</v>
      </c>
      <c r="H280" s="99">
        <f t="shared" si="15"/>
        <v>0</v>
      </c>
      <c r="I280" s="99">
        <f t="shared" si="13"/>
        <v>-150000000</v>
      </c>
      <c r="J280" s="99">
        <f t="shared" si="20"/>
        <v>0</v>
      </c>
      <c r="K280" s="99">
        <f t="shared" si="17"/>
        <v>-150000000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74</v>
      </c>
      <c r="H281" s="99">
        <f t="shared" si="15"/>
        <v>0</v>
      </c>
      <c r="I281" s="99">
        <f t="shared" si="13"/>
        <v>-740000000</v>
      </c>
      <c r="J281" s="99">
        <f t="shared" si="20"/>
        <v>0</v>
      </c>
      <c r="K281" s="99">
        <f t="shared" si="17"/>
        <v>-740000000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70</v>
      </c>
      <c r="H282" s="99">
        <f t="shared" si="15"/>
        <v>0</v>
      </c>
      <c r="I282" s="99">
        <f t="shared" si="13"/>
        <v>-1169000000</v>
      </c>
      <c r="J282" s="99">
        <f t="shared" ref="J282:J296" si="22">C282*(G282-H282)</f>
        <v>0</v>
      </c>
      <c r="K282" s="99">
        <f t="shared" ref="K282:K296" si="23">D282*(G282-H282)</f>
        <v>-1169000000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68</v>
      </c>
      <c r="H283" s="99">
        <f t="shared" si="15"/>
        <v>1</v>
      </c>
      <c r="I283" s="99">
        <f t="shared" si="13"/>
        <v>804000000</v>
      </c>
      <c r="J283" s="99">
        <f t="shared" si="22"/>
        <v>0</v>
      </c>
      <c r="K283" s="99">
        <f t="shared" si="23"/>
        <v>804000000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67</v>
      </c>
      <c r="H284" s="99">
        <f t="shared" si="15"/>
        <v>1</v>
      </c>
      <c r="I284" s="99">
        <f t="shared" si="13"/>
        <v>125400000</v>
      </c>
      <c r="J284" s="99">
        <f t="shared" si="22"/>
        <v>0</v>
      </c>
      <c r="K284" s="99">
        <f t="shared" si="23"/>
        <v>125400000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67</v>
      </c>
      <c r="H285" s="99">
        <f t="shared" si="15"/>
        <v>0</v>
      </c>
      <c r="I285" s="99">
        <f t="shared" si="13"/>
        <v>-267665000</v>
      </c>
      <c r="J285" s="99">
        <f t="shared" si="22"/>
        <v>0</v>
      </c>
      <c r="K285" s="99">
        <f t="shared" si="23"/>
        <v>-267665000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64</v>
      </c>
      <c r="H286" s="99">
        <f t="shared" si="15"/>
        <v>0</v>
      </c>
      <c r="I286" s="99">
        <f t="shared" si="13"/>
        <v>-128684800</v>
      </c>
      <c r="J286" s="99">
        <f t="shared" si="22"/>
        <v>0</v>
      </c>
      <c r="K286" s="99">
        <f t="shared" si="23"/>
        <v>-128684800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64</v>
      </c>
      <c r="H287" s="99">
        <f t="shared" si="15"/>
        <v>0</v>
      </c>
      <c r="I287" s="99">
        <f t="shared" si="13"/>
        <v>-256000000</v>
      </c>
      <c r="J287" s="99">
        <f t="shared" si="22"/>
        <v>0</v>
      </c>
      <c r="K287" s="99">
        <f t="shared" si="23"/>
        <v>-256000000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63</v>
      </c>
      <c r="H288" s="99">
        <f t="shared" si="15"/>
        <v>0</v>
      </c>
      <c r="I288" s="99">
        <f t="shared" si="13"/>
        <v>-359100000</v>
      </c>
      <c r="J288" s="99">
        <f t="shared" si="22"/>
        <v>0</v>
      </c>
      <c r="K288" s="99">
        <f t="shared" si="23"/>
        <v>-359100000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61</v>
      </c>
      <c r="H289" s="99">
        <f t="shared" si="15"/>
        <v>1</v>
      </c>
      <c r="I289" s="99">
        <f t="shared" si="13"/>
        <v>480000000</v>
      </c>
      <c r="J289" s="99">
        <f t="shared" si="22"/>
        <v>0</v>
      </c>
      <c r="K289" s="99">
        <f t="shared" si="23"/>
        <v>480000000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60</v>
      </c>
      <c r="H290" s="99">
        <f t="shared" si="15"/>
        <v>0</v>
      </c>
      <c r="I290" s="99">
        <f t="shared" si="13"/>
        <v>-480000000</v>
      </c>
      <c r="J290" s="99">
        <f t="shared" si="22"/>
        <v>0</v>
      </c>
      <c r="K290" s="99">
        <f t="shared" si="23"/>
        <v>-480000000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57</v>
      </c>
      <c r="H291" s="99">
        <f t="shared" si="15"/>
        <v>0</v>
      </c>
      <c r="I291" s="99">
        <f t="shared" si="13"/>
        <v>-342000000</v>
      </c>
      <c r="J291" s="99">
        <f t="shared" si="22"/>
        <v>0</v>
      </c>
      <c r="K291" s="99">
        <f t="shared" si="23"/>
        <v>-342000000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57</v>
      </c>
      <c r="H292" s="99">
        <f t="shared" si="15"/>
        <v>0</v>
      </c>
      <c r="I292" s="99">
        <f t="shared" si="13"/>
        <v>-4406955</v>
      </c>
      <c r="J292" s="99">
        <f t="shared" si="22"/>
        <v>0</v>
      </c>
      <c r="K292" s="99">
        <f t="shared" si="23"/>
        <v>-4406955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56</v>
      </c>
      <c r="H293" s="99">
        <f t="shared" si="15"/>
        <v>0</v>
      </c>
      <c r="I293" s="99">
        <f t="shared" si="13"/>
        <v>-5423600</v>
      </c>
      <c r="J293" s="99">
        <f t="shared" si="22"/>
        <v>0</v>
      </c>
      <c r="K293" s="99">
        <f t="shared" si="23"/>
        <v>-5423600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54</v>
      </c>
      <c r="H294" s="99">
        <f t="shared" si="15"/>
        <v>0</v>
      </c>
      <c r="I294" s="99">
        <f t="shared" si="13"/>
        <v>-2430000</v>
      </c>
      <c r="J294" s="99">
        <f t="shared" si="22"/>
        <v>0</v>
      </c>
      <c r="K294" s="99">
        <f t="shared" si="23"/>
        <v>-2430000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54</v>
      </c>
      <c r="H295" s="99">
        <f t="shared" si="15"/>
        <v>0</v>
      </c>
      <c r="I295" s="99">
        <f t="shared" si="13"/>
        <v>-2583792</v>
      </c>
      <c r="J295" s="99">
        <f t="shared" si="22"/>
        <v>0</v>
      </c>
      <c r="K295" s="99">
        <f t="shared" si="23"/>
        <v>-2583792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53</v>
      </c>
      <c r="H296" s="99">
        <f t="shared" si="15"/>
        <v>0</v>
      </c>
      <c r="I296" s="99">
        <f t="shared" si="13"/>
        <v>-10600000</v>
      </c>
      <c r="J296" s="99">
        <f t="shared" si="22"/>
        <v>0</v>
      </c>
      <c r="K296" s="99">
        <f t="shared" si="23"/>
        <v>-10600000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50</v>
      </c>
      <c r="H297" s="99">
        <f t="shared" si="15"/>
        <v>0</v>
      </c>
      <c r="I297" s="99">
        <f t="shared" ref="I297:I308" si="24">B297*(G297-H297)</f>
        <v>-3023000</v>
      </c>
      <c r="J297" s="99">
        <f t="shared" ref="J297:J308" si="25">C297*(G297-H297)</f>
        <v>0</v>
      </c>
      <c r="K297" s="99">
        <f t="shared" ref="K297:K308" si="26">D297*(G297-H297)</f>
        <v>-3023000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49</v>
      </c>
      <c r="H298" s="99">
        <f t="shared" si="15"/>
        <v>0</v>
      </c>
      <c r="I298" s="99">
        <f t="shared" si="24"/>
        <v>-2940000</v>
      </c>
      <c r="J298" s="99">
        <f t="shared" si="25"/>
        <v>0</v>
      </c>
      <c r="K298" s="99">
        <f t="shared" si="26"/>
        <v>-2940000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49</v>
      </c>
      <c r="H299" s="99">
        <f t="shared" si="15"/>
        <v>1</v>
      </c>
      <c r="I299" s="99">
        <f t="shared" si="24"/>
        <v>115200000</v>
      </c>
      <c r="J299" s="99">
        <f t="shared" si="25"/>
        <v>0</v>
      </c>
      <c r="K299" s="99">
        <f t="shared" si="26"/>
        <v>115200000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49</v>
      </c>
      <c r="H300" s="99">
        <f t="shared" si="15"/>
        <v>0</v>
      </c>
      <c r="I300" s="99">
        <f t="shared" si="24"/>
        <v>-6720987</v>
      </c>
      <c r="J300" s="99">
        <f t="shared" si="25"/>
        <v>0</v>
      </c>
      <c r="K300" s="99">
        <f t="shared" si="26"/>
        <v>-6720987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49</v>
      </c>
      <c r="H301" s="99">
        <f t="shared" si="15"/>
        <v>0</v>
      </c>
      <c r="I301" s="99">
        <f t="shared" si="24"/>
        <v>-2518600</v>
      </c>
      <c r="J301" s="99">
        <f t="shared" si="25"/>
        <v>0</v>
      </c>
      <c r="K301" s="99">
        <f t="shared" si="26"/>
        <v>-2518600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48</v>
      </c>
      <c r="H302" s="99">
        <f t="shared" si="15"/>
        <v>0</v>
      </c>
      <c r="I302" s="99">
        <f t="shared" si="24"/>
        <v>-108000000</v>
      </c>
      <c r="J302" s="99">
        <f t="shared" si="25"/>
        <v>0</v>
      </c>
      <c r="K302" s="99">
        <f t="shared" si="26"/>
        <v>-108000000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48</v>
      </c>
      <c r="H303" s="99">
        <f t="shared" si="15"/>
        <v>1</v>
      </c>
      <c r="I303" s="99">
        <f t="shared" si="24"/>
        <v>32900000</v>
      </c>
      <c r="J303" s="99">
        <f t="shared" si="25"/>
        <v>0</v>
      </c>
      <c r="K303" s="99">
        <f t="shared" si="26"/>
        <v>32900000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46</v>
      </c>
      <c r="H304" s="99">
        <f t="shared" si="15"/>
        <v>1</v>
      </c>
      <c r="I304" s="99">
        <f t="shared" si="24"/>
        <v>25650000</v>
      </c>
      <c r="J304" s="99">
        <f t="shared" si="25"/>
        <v>0</v>
      </c>
      <c r="K304" s="99">
        <f t="shared" si="26"/>
        <v>25650000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46</v>
      </c>
      <c r="H305" s="99">
        <f t="shared" si="15"/>
        <v>0</v>
      </c>
      <c r="I305" s="99">
        <f t="shared" si="24"/>
        <v>-12731558</v>
      </c>
      <c r="J305" s="99">
        <f t="shared" si="25"/>
        <v>0</v>
      </c>
      <c r="K305" s="99">
        <f t="shared" si="26"/>
        <v>-12731558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44</v>
      </c>
      <c r="H306" s="99">
        <f t="shared" si="15"/>
        <v>0</v>
      </c>
      <c r="I306" s="99">
        <f t="shared" si="24"/>
        <v>-5047240</v>
      </c>
      <c r="J306" s="99">
        <f t="shared" si="25"/>
        <v>0</v>
      </c>
      <c r="K306" s="99">
        <f t="shared" si="26"/>
        <v>-5047240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40</v>
      </c>
      <c r="H307" s="99">
        <f t="shared" si="15"/>
        <v>0</v>
      </c>
      <c r="I307" s="99">
        <f t="shared" si="24"/>
        <v>-40000</v>
      </c>
      <c r="J307" s="99">
        <f t="shared" si="25"/>
        <v>0</v>
      </c>
      <c r="K307" s="99">
        <f t="shared" si="26"/>
        <v>-40000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39</v>
      </c>
      <c r="H308" s="99">
        <f t="shared" si="15"/>
        <v>1</v>
      </c>
      <c r="I308" s="99">
        <f t="shared" si="24"/>
        <v>9500000</v>
      </c>
      <c r="J308" s="99">
        <f t="shared" si="25"/>
        <v>0</v>
      </c>
      <c r="K308" s="99">
        <f t="shared" si="26"/>
        <v>9500000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39</v>
      </c>
      <c r="H309" s="99">
        <f t="shared" ref="H309:H370" si="29">IF(B309&gt;0,1,0)</f>
        <v>0</v>
      </c>
      <c r="I309" s="99">
        <f t="shared" ref="I309:I370" si="30">B309*(G309-H309)</f>
        <v>-2149680</v>
      </c>
      <c r="J309" s="99">
        <f t="shared" ref="J309:J370" si="31">C309*(G309-H309)</f>
        <v>0</v>
      </c>
      <c r="K309" s="99">
        <f t="shared" ref="K309:K370" si="32">D309*(G309-H309)</f>
        <v>-2149680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36</v>
      </c>
      <c r="H310" s="99">
        <f t="shared" si="29"/>
        <v>0</v>
      </c>
      <c r="I310" s="99">
        <f t="shared" si="30"/>
        <v>-4140000</v>
      </c>
      <c r="J310" s="99">
        <f t="shared" si="31"/>
        <v>0</v>
      </c>
      <c r="K310" s="99">
        <f t="shared" si="32"/>
        <v>-4140000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35</v>
      </c>
      <c r="H311" s="99">
        <f t="shared" si="29"/>
        <v>0</v>
      </c>
      <c r="I311" s="99">
        <f t="shared" si="30"/>
        <v>-7509215</v>
      </c>
      <c r="J311" s="99">
        <f t="shared" si="31"/>
        <v>0</v>
      </c>
      <c r="K311" s="99">
        <f t="shared" si="32"/>
        <v>-7509215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33</v>
      </c>
      <c r="H312" s="99">
        <f t="shared" si="29"/>
        <v>0</v>
      </c>
      <c r="I312" s="99">
        <f t="shared" si="30"/>
        <v>-10716651</v>
      </c>
      <c r="J312" s="99">
        <f t="shared" si="31"/>
        <v>0</v>
      </c>
      <c r="K312" s="99">
        <f t="shared" si="32"/>
        <v>-10716651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30</v>
      </c>
      <c r="H313" s="99">
        <f t="shared" si="29"/>
        <v>0</v>
      </c>
      <c r="I313" s="99">
        <f t="shared" si="30"/>
        <v>-8939760</v>
      </c>
      <c r="J313" s="99">
        <f t="shared" si="31"/>
        <v>0</v>
      </c>
      <c r="K313" s="99">
        <f t="shared" si="32"/>
        <v>-8939760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28</v>
      </c>
      <c r="H314" s="99">
        <f t="shared" si="29"/>
        <v>0</v>
      </c>
      <c r="I314" s="99">
        <f t="shared" si="30"/>
        <v>-3640000</v>
      </c>
      <c r="J314" s="99">
        <f t="shared" si="31"/>
        <v>0</v>
      </c>
      <c r="K314" s="99">
        <f t="shared" si="32"/>
        <v>-3640000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27</v>
      </c>
      <c r="H315" s="99">
        <f t="shared" si="29"/>
        <v>0</v>
      </c>
      <c r="I315" s="99">
        <f t="shared" si="30"/>
        <v>-1080000</v>
      </c>
      <c r="J315" s="99">
        <f t="shared" si="31"/>
        <v>0</v>
      </c>
      <c r="K315" s="99">
        <f t="shared" si="32"/>
        <v>-1080000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23</v>
      </c>
      <c r="H316" s="99">
        <f t="shared" si="29"/>
        <v>1</v>
      </c>
      <c r="I316" s="99">
        <f t="shared" si="30"/>
        <v>36733180</v>
      </c>
      <c r="J316" s="99">
        <f t="shared" si="31"/>
        <v>0</v>
      </c>
      <c r="K316" s="99">
        <f t="shared" si="32"/>
        <v>36733180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19</v>
      </c>
      <c r="H317" s="99">
        <f t="shared" si="29"/>
        <v>0</v>
      </c>
      <c r="I317" s="99">
        <f t="shared" si="30"/>
        <v>-10422317</v>
      </c>
      <c r="J317" s="99">
        <f t="shared" si="31"/>
        <v>0</v>
      </c>
      <c r="K317" s="99">
        <f t="shared" si="32"/>
        <v>-10422317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18</v>
      </c>
      <c r="H318" s="99">
        <f t="shared" si="29"/>
        <v>1</v>
      </c>
      <c r="I318" s="99">
        <f t="shared" si="30"/>
        <v>41650000</v>
      </c>
      <c r="J318" s="99">
        <f t="shared" si="31"/>
        <v>0</v>
      </c>
      <c r="K318" s="99">
        <f t="shared" si="32"/>
        <v>41650000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18</v>
      </c>
      <c r="H319" s="99">
        <f t="shared" si="29"/>
        <v>0</v>
      </c>
      <c r="I319" s="99">
        <f t="shared" si="30"/>
        <v>-33590772</v>
      </c>
      <c r="J319" s="99">
        <f t="shared" si="31"/>
        <v>0</v>
      </c>
      <c r="K319" s="99">
        <f t="shared" si="32"/>
        <v>-33590772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6" si="33">G321+F320</f>
        <v>18</v>
      </c>
      <c r="H320" s="99">
        <f t="shared" ref="H320:H336" si="34">IF(B320&gt;0,1,0)</f>
        <v>0</v>
      </c>
      <c r="I320" s="99">
        <f t="shared" ref="I320:I336" si="35">B320*(G320-H320)</f>
        <v>-658800</v>
      </c>
      <c r="J320" s="99">
        <f t="shared" ref="J320:J336" si="36">C320*(G320-H320)</f>
        <v>0</v>
      </c>
      <c r="K320" s="99">
        <f t="shared" ref="K320:K336" si="37">D320*(G320-H320)</f>
        <v>-658800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17</v>
      </c>
      <c r="H321" s="99">
        <f t="shared" si="34"/>
        <v>0</v>
      </c>
      <c r="I321" s="99">
        <f t="shared" si="35"/>
        <v>-8364000</v>
      </c>
      <c r="J321" s="99">
        <f t="shared" si="36"/>
        <v>0</v>
      </c>
      <c r="K321" s="99">
        <f t="shared" si="37"/>
        <v>-8364000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17</v>
      </c>
      <c r="H322" s="99">
        <f t="shared" si="34"/>
        <v>0</v>
      </c>
      <c r="I322" s="99">
        <f t="shared" si="35"/>
        <v>-8806000</v>
      </c>
      <c r="J322" s="99">
        <f t="shared" si="36"/>
        <v>0</v>
      </c>
      <c r="K322" s="99">
        <f t="shared" si="37"/>
        <v>-8806000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17</v>
      </c>
      <c r="H323" s="99">
        <f t="shared" si="34"/>
        <v>0</v>
      </c>
      <c r="I323" s="99">
        <f t="shared" si="35"/>
        <v>-680000</v>
      </c>
      <c r="J323" s="99">
        <f t="shared" si="36"/>
        <v>0</v>
      </c>
      <c r="K323" s="99">
        <f t="shared" si="37"/>
        <v>-680000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16</v>
      </c>
      <c r="H324" s="99">
        <f t="shared" si="34"/>
        <v>0</v>
      </c>
      <c r="I324" s="99">
        <f t="shared" si="35"/>
        <v>-1056000</v>
      </c>
      <c r="J324" s="99">
        <f t="shared" si="36"/>
        <v>0</v>
      </c>
      <c r="K324" s="99">
        <f t="shared" si="37"/>
        <v>-1056000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15</v>
      </c>
      <c r="H325" s="99">
        <f t="shared" si="34"/>
        <v>0</v>
      </c>
      <c r="I325" s="99">
        <f t="shared" si="35"/>
        <v>-1950000</v>
      </c>
      <c r="J325" s="99">
        <f t="shared" si="36"/>
        <v>0</v>
      </c>
      <c r="K325" s="99">
        <f t="shared" si="37"/>
        <v>-1950000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15</v>
      </c>
      <c r="H326" s="99">
        <f t="shared" si="34"/>
        <v>0</v>
      </c>
      <c r="I326" s="99">
        <f t="shared" si="35"/>
        <v>-3007500</v>
      </c>
      <c r="J326" s="99">
        <f t="shared" si="36"/>
        <v>0</v>
      </c>
      <c r="K326" s="99">
        <f t="shared" si="37"/>
        <v>-3007500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13</v>
      </c>
      <c r="H327" s="99">
        <f t="shared" si="34"/>
        <v>1</v>
      </c>
      <c r="I327" s="99">
        <f t="shared" si="35"/>
        <v>18756000</v>
      </c>
      <c r="J327" s="99">
        <f t="shared" si="36"/>
        <v>0</v>
      </c>
      <c r="K327" s="99">
        <f t="shared" si="37"/>
        <v>18756000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13</v>
      </c>
      <c r="H328" s="99">
        <f t="shared" si="34"/>
        <v>0</v>
      </c>
      <c r="I328" s="99">
        <f t="shared" si="35"/>
        <v>-2080000</v>
      </c>
      <c r="J328" s="99">
        <f t="shared" si="36"/>
        <v>0</v>
      </c>
      <c r="K328" s="99">
        <f t="shared" si="37"/>
        <v>-2080000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11</v>
      </c>
      <c r="H329" s="99">
        <f t="shared" si="34"/>
        <v>0</v>
      </c>
      <c r="I329" s="99">
        <f t="shared" si="35"/>
        <v>-220000</v>
      </c>
      <c r="J329" s="99">
        <f t="shared" si="36"/>
        <v>0</v>
      </c>
      <c r="K329" s="99">
        <f t="shared" si="37"/>
        <v>-220000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8</v>
      </c>
      <c r="H330" s="99">
        <f t="shared" si="34"/>
        <v>0</v>
      </c>
      <c r="I330" s="99">
        <f t="shared" si="35"/>
        <v>-240000</v>
      </c>
      <c r="J330" s="99">
        <f t="shared" si="36"/>
        <v>0</v>
      </c>
      <c r="K330" s="99">
        <f t="shared" si="37"/>
        <v>-240000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8</v>
      </c>
      <c r="H331" s="99">
        <f t="shared" si="34"/>
        <v>0</v>
      </c>
      <c r="I331" s="99">
        <f t="shared" si="35"/>
        <v>-6324000</v>
      </c>
      <c r="J331" s="99">
        <f t="shared" si="36"/>
        <v>0</v>
      </c>
      <c r="K331" s="99">
        <f t="shared" si="37"/>
        <v>-6324000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6</v>
      </c>
      <c r="H332" s="99">
        <f t="shared" si="34"/>
        <v>0</v>
      </c>
      <c r="I332" s="99">
        <f t="shared" si="35"/>
        <v>-65592</v>
      </c>
      <c r="J332" s="99">
        <f t="shared" si="36"/>
        <v>0</v>
      </c>
      <c r="K332" s="99">
        <f t="shared" si="37"/>
        <v>-65592</v>
      </c>
    </row>
    <row r="333" spans="1:14">
      <c r="A333" s="99" t="s">
        <v>4914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4</v>
      </c>
      <c r="H333" s="99">
        <f t="shared" si="34"/>
        <v>1</v>
      </c>
      <c r="I333" s="99">
        <f t="shared" si="35"/>
        <v>1200000</v>
      </c>
      <c r="J333" s="99">
        <f t="shared" si="36"/>
        <v>0</v>
      </c>
      <c r="K333" s="99">
        <f t="shared" si="37"/>
        <v>1200000</v>
      </c>
    </row>
    <row r="334" spans="1:14">
      <c r="A334" s="99" t="s">
        <v>4926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3</v>
      </c>
      <c r="H334" s="99">
        <f t="shared" si="34"/>
        <v>1</v>
      </c>
      <c r="I334" s="99">
        <f t="shared" si="35"/>
        <v>720000</v>
      </c>
      <c r="J334" s="99">
        <f t="shared" si="36"/>
        <v>0</v>
      </c>
      <c r="K334" s="99">
        <f t="shared" si="37"/>
        <v>720000</v>
      </c>
    </row>
    <row r="335" spans="1:14">
      <c r="A335" s="99" t="s">
        <v>4926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3</v>
      </c>
      <c r="H335" s="99">
        <f t="shared" si="34"/>
        <v>0</v>
      </c>
      <c r="I335" s="99">
        <f t="shared" si="35"/>
        <v>-1314600</v>
      </c>
      <c r="J335" s="99">
        <f t="shared" si="36"/>
        <v>0</v>
      </c>
      <c r="K335" s="99">
        <f t="shared" si="37"/>
        <v>-1314600</v>
      </c>
    </row>
    <row r="336" spans="1:14">
      <c r="A336" s="11" t="s">
        <v>4926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3</v>
      </c>
      <c r="H336" s="99">
        <f t="shared" si="34"/>
        <v>0</v>
      </c>
      <c r="I336" s="99">
        <f t="shared" si="35"/>
        <v>-897000</v>
      </c>
      <c r="J336" s="99">
        <f t="shared" si="36"/>
        <v>0</v>
      </c>
      <c r="K336" s="99">
        <f t="shared" si="37"/>
        <v>-897000</v>
      </c>
    </row>
    <row r="337" spans="1:13">
      <c r="A337" s="11" t="s">
        <v>4936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2</v>
      </c>
      <c r="H337" s="99">
        <f t="shared" ref="H337:H369" si="39">IF(B337&gt;0,1,0)</f>
        <v>1</v>
      </c>
      <c r="I337" s="99">
        <f t="shared" ref="I337:I369" si="40">B337*(G337-H337)</f>
        <v>1700000</v>
      </c>
      <c r="J337" s="99">
        <f t="shared" ref="J337:J369" si="41">C337*(G337-H337)</f>
        <v>0</v>
      </c>
      <c r="K337" s="99">
        <f t="shared" ref="K337:K369" si="42">D337*(G337-H337)</f>
        <v>1700000</v>
      </c>
      <c r="L337" t="s">
        <v>25</v>
      </c>
    </row>
    <row r="338" spans="1:13">
      <c r="A338" s="99" t="s">
        <v>4936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2</v>
      </c>
      <c r="H338" s="99">
        <f t="shared" si="39"/>
        <v>0</v>
      </c>
      <c r="I338" s="99">
        <f t="shared" si="40"/>
        <v>-720000</v>
      </c>
      <c r="J338" s="99">
        <f t="shared" si="41"/>
        <v>0</v>
      </c>
      <c r="K338" s="99">
        <f t="shared" si="42"/>
        <v>-720000</v>
      </c>
    </row>
    <row r="339" spans="1:13">
      <c r="A339" s="99" t="s">
        <v>4937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</v>
      </c>
      <c r="H339" s="99">
        <f t="shared" si="39"/>
        <v>0</v>
      </c>
      <c r="I339" s="99">
        <f t="shared" si="40"/>
        <v>-2000000</v>
      </c>
      <c r="J339" s="99">
        <f t="shared" si="41"/>
        <v>0</v>
      </c>
      <c r="K339" s="99">
        <f t="shared" si="42"/>
        <v>-2000000</v>
      </c>
    </row>
    <row r="340" spans="1:13">
      <c r="A340" s="99" t="s">
        <v>4937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</v>
      </c>
      <c r="H340" s="99">
        <f t="shared" si="39"/>
        <v>1</v>
      </c>
      <c r="I340" s="99">
        <f t="shared" si="40"/>
        <v>0</v>
      </c>
      <c r="J340" s="99">
        <f t="shared" si="41"/>
        <v>0</v>
      </c>
      <c r="K340" s="99">
        <f t="shared" si="42"/>
        <v>0</v>
      </c>
    </row>
    <row r="341" spans="1:13">
      <c r="A341" s="99"/>
      <c r="B341" s="18"/>
      <c r="C341" s="18"/>
      <c r="D341" s="18"/>
      <c r="E341" s="99"/>
      <c r="F341" s="99"/>
      <c r="G341" s="36">
        <f t="shared" si="38"/>
        <v>0</v>
      </c>
      <c r="H341" s="99">
        <f t="shared" si="39"/>
        <v>0</v>
      </c>
      <c r="I341" s="99">
        <f t="shared" si="40"/>
        <v>0</v>
      </c>
      <c r="J341" s="99">
        <f t="shared" si="41"/>
        <v>0</v>
      </c>
      <c r="K341" s="99">
        <f t="shared" si="42"/>
        <v>0</v>
      </c>
      <c r="M341" t="s">
        <v>25</v>
      </c>
    </row>
    <row r="342" spans="1:13">
      <c r="A342" s="99"/>
      <c r="B342" s="18"/>
      <c r="C342" s="18"/>
      <c r="D342" s="18"/>
      <c r="E342" s="99"/>
      <c r="F342" s="99"/>
      <c r="G342" s="36">
        <f t="shared" si="38"/>
        <v>0</v>
      </c>
      <c r="H342" s="99">
        <f t="shared" si="39"/>
        <v>0</v>
      </c>
      <c r="I342" s="99">
        <f t="shared" si="40"/>
        <v>0</v>
      </c>
      <c r="J342" s="99">
        <f t="shared" si="41"/>
        <v>0</v>
      </c>
      <c r="K342" s="99">
        <f t="shared" si="42"/>
        <v>0</v>
      </c>
    </row>
    <row r="343" spans="1:13">
      <c r="A343" s="99"/>
      <c r="B343" s="18"/>
      <c r="C343" s="18"/>
      <c r="D343" s="18"/>
      <c r="E343" s="99"/>
      <c r="F343" s="99"/>
      <c r="G343" s="36">
        <f t="shared" si="38"/>
        <v>0</v>
      </c>
      <c r="H343" s="99">
        <f t="shared" si="39"/>
        <v>0</v>
      </c>
      <c r="I343" s="99">
        <f t="shared" si="40"/>
        <v>0</v>
      </c>
      <c r="J343" s="99">
        <f t="shared" si="41"/>
        <v>0</v>
      </c>
      <c r="K343" s="99">
        <f t="shared" si="42"/>
        <v>0</v>
      </c>
    </row>
    <row r="344" spans="1:13">
      <c r="A344" s="99"/>
      <c r="B344" s="18"/>
      <c r="C344" s="18"/>
      <c r="D344" s="18"/>
      <c r="E344" s="99"/>
      <c r="F344" s="99"/>
      <c r="G344" s="36">
        <f t="shared" si="38"/>
        <v>0</v>
      </c>
      <c r="H344" s="99">
        <f t="shared" si="39"/>
        <v>0</v>
      </c>
      <c r="I344" s="99">
        <f t="shared" si="40"/>
        <v>0</v>
      </c>
      <c r="J344" s="99">
        <f t="shared" si="41"/>
        <v>0</v>
      </c>
      <c r="K344" s="99">
        <f t="shared" si="42"/>
        <v>0</v>
      </c>
    </row>
    <row r="345" spans="1:13">
      <c r="A345" s="99"/>
      <c r="B345" s="18"/>
      <c r="C345" s="18"/>
      <c r="D345" s="18"/>
      <c r="E345" s="99"/>
      <c r="F345" s="99"/>
      <c r="G345" s="36">
        <f t="shared" si="38"/>
        <v>0</v>
      </c>
      <c r="H345" s="99">
        <f t="shared" si="39"/>
        <v>0</v>
      </c>
      <c r="I345" s="99">
        <f t="shared" si="40"/>
        <v>0</v>
      </c>
      <c r="J345" s="99">
        <f t="shared" si="41"/>
        <v>0</v>
      </c>
      <c r="K345" s="99">
        <f t="shared" si="42"/>
        <v>0</v>
      </c>
      <c r="L345" t="s">
        <v>25</v>
      </c>
    </row>
    <row r="346" spans="1:13">
      <c r="A346" s="99"/>
      <c r="B346" s="18"/>
      <c r="C346" s="18"/>
      <c r="D346" s="18"/>
      <c r="E346" s="99"/>
      <c r="F346" s="99"/>
      <c r="G346" s="36">
        <f t="shared" si="38"/>
        <v>0</v>
      </c>
      <c r="H346" s="99">
        <f t="shared" si="39"/>
        <v>0</v>
      </c>
      <c r="I346" s="99">
        <f t="shared" si="40"/>
        <v>0</v>
      </c>
      <c r="J346" s="99">
        <f t="shared" si="41"/>
        <v>0</v>
      </c>
      <c r="K346" s="99">
        <f t="shared" si="42"/>
        <v>0</v>
      </c>
    </row>
    <row r="347" spans="1:13">
      <c r="A347" s="99"/>
      <c r="B347" s="18"/>
      <c r="C347" s="18"/>
      <c r="D347" s="18"/>
      <c r="E347" s="99"/>
      <c r="F347" s="99"/>
      <c r="G347" s="36">
        <f t="shared" si="38"/>
        <v>0</v>
      </c>
      <c r="H347" s="99">
        <f t="shared" si="39"/>
        <v>0</v>
      </c>
      <c r="I347" s="99">
        <f t="shared" si="40"/>
        <v>0</v>
      </c>
      <c r="J347" s="99">
        <f t="shared" si="41"/>
        <v>0</v>
      </c>
      <c r="K347" s="99">
        <f t="shared" si="42"/>
        <v>0</v>
      </c>
    </row>
    <row r="348" spans="1:13">
      <c r="A348" s="99"/>
      <c r="B348" s="18"/>
      <c r="C348" s="18"/>
      <c r="D348" s="18"/>
      <c r="E348" s="99"/>
      <c r="F348" s="99"/>
      <c r="G348" s="36">
        <f t="shared" si="38"/>
        <v>0</v>
      </c>
      <c r="H348" s="99">
        <f t="shared" si="39"/>
        <v>0</v>
      </c>
      <c r="I348" s="99">
        <f t="shared" si="40"/>
        <v>0</v>
      </c>
      <c r="J348" s="99">
        <f t="shared" si="41"/>
        <v>0</v>
      </c>
      <c r="K348" s="99">
        <f t="shared" si="42"/>
        <v>0</v>
      </c>
      <c r="L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38"/>
        <v>0</v>
      </c>
      <c r="H349" s="99">
        <f t="shared" si="39"/>
        <v>0</v>
      </c>
      <c r="I349" s="99">
        <f t="shared" si="40"/>
        <v>0</v>
      </c>
      <c r="J349" s="99">
        <f t="shared" si="41"/>
        <v>0</v>
      </c>
      <c r="K349" s="99">
        <f t="shared" si="42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38"/>
        <v>0</v>
      </c>
      <c r="H350" s="99">
        <f t="shared" si="39"/>
        <v>0</v>
      </c>
      <c r="I350" s="99">
        <f t="shared" si="40"/>
        <v>0</v>
      </c>
      <c r="J350" s="99">
        <f t="shared" si="41"/>
        <v>0</v>
      </c>
      <c r="K350" s="99">
        <f t="shared" si="42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38"/>
        <v>0</v>
      </c>
      <c r="H351" s="99">
        <f t="shared" si="39"/>
        <v>0</v>
      </c>
      <c r="I351" s="99">
        <f t="shared" si="40"/>
        <v>0</v>
      </c>
      <c r="J351" s="99">
        <f t="shared" si="41"/>
        <v>0</v>
      </c>
      <c r="K351" s="99">
        <f t="shared" si="42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38"/>
        <v>0</v>
      </c>
      <c r="H352" s="99">
        <f t="shared" si="39"/>
        <v>0</v>
      </c>
      <c r="I352" s="99">
        <f t="shared" si="40"/>
        <v>0</v>
      </c>
      <c r="J352" s="99">
        <f t="shared" si="41"/>
        <v>0</v>
      </c>
      <c r="K352" s="99">
        <f t="shared" si="42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38"/>
        <v>0</v>
      </c>
      <c r="H353" s="99">
        <f t="shared" si="39"/>
        <v>0</v>
      </c>
      <c r="I353" s="99">
        <f t="shared" si="40"/>
        <v>0</v>
      </c>
      <c r="J353" s="99">
        <f t="shared" si="41"/>
        <v>0</v>
      </c>
      <c r="K353" s="99">
        <f t="shared" si="42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38"/>
        <v>0</v>
      </c>
      <c r="H354" s="99">
        <f t="shared" si="39"/>
        <v>0</v>
      </c>
      <c r="I354" s="99">
        <f t="shared" si="40"/>
        <v>0</v>
      </c>
      <c r="J354" s="99">
        <f t="shared" si="41"/>
        <v>0</v>
      </c>
      <c r="K354" s="99">
        <f t="shared" si="42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38"/>
        <v>0</v>
      </c>
      <c r="H355" s="99">
        <f t="shared" si="39"/>
        <v>0</v>
      </c>
      <c r="I355" s="99">
        <f t="shared" si="40"/>
        <v>0</v>
      </c>
      <c r="J355" s="99">
        <f t="shared" si="41"/>
        <v>0</v>
      </c>
      <c r="K355" s="99">
        <f t="shared" si="42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38"/>
        <v>0</v>
      </c>
      <c r="H356" s="99">
        <f t="shared" si="39"/>
        <v>0</v>
      </c>
      <c r="I356" s="99">
        <f t="shared" si="40"/>
        <v>0</v>
      </c>
      <c r="J356" s="99">
        <f t="shared" si="41"/>
        <v>0</v>
      </c>
      <c r="K356" s="99">
        <f t="shared" si="42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38"/>
        <v>0</v>
      </c>
      <c r="H357" s="99">
        <f t="shared" si="39"/>
        <v>0</v>
      </c>
      <c r="I357" s="99">
        <f t="shared" si="40"/>
        <v>0</v>
      </c>
      <c r="J357" s="99">
        <f t="shared" si="41"/>
        <v>0</v>
      </c>
      <c r="K357" s="99">
        <f t="shared" si="42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38"/>
        <v>0</v>
      </c>
      <c r="H358" s="99">
        <f t="shared" si="39"/>
        <v>0</v>
      </c>
      <c r="I358" s="99">
        <f t="shared" si="40"/>
        <v>0</v>
      </c>
      <c r="J358" s="99">
        <f t="shared" si="41"/>
        <v>0</v>
      </c>
      <c r="K358" s="99">
        <f t="shared" si="42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38"/>
        <v>0</v>
      </c>
      <c r="H359" s="99">
        <f t="shared" si="39"/>
        <v>0</v>
      </c>
      <c r="I359" s="99">
        <f t="shared" si="40"/>
        <v>0</v>
      </c>
      <c r="J359" s="99">
        <f t="shared" si="41"/>
        <v>0</v>
      </c>
      <c r="K359" s="99">
        <f t="shared" si="42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38"/>
        <v>0</v>
      </c>
      <c r="H360" s="99">
        <f t="shared" si="39"/>
        <v>0</v>
      </c>
      <c r="I360" s="99">
        <f t="shared" si="40"/>
        <v>0</v>
      </c>
      <c r="J360" s="99">
        <f t="shared" si="41"/>
        <v>0</v>
      </c>
      <c r="K360" s="99">
        <f t="shared" si="42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38"/>
        <v>0</v>
      </c>
      <c r="H361" s="99">
        <f t="shared" si="39"/>
        <v>0</v>
      </c>
      <c r="I361" s="99">
        <f t="shared" si="40"/>
        <v>0</v>
      </c>
      <c r="J361" s="99">
        <f t="shared" si="41"/>
        <v>0</v>
      </c>
      <c r="K361" s="99">
        <f t="shared" si="42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38"/>
        <v>0</v>
      </c>
      <c r="H362" s="99">
        <f t="shared" si="39"/>
        <v>0</v>
      </c>
      <c r="I362" s="99">
        <f t="shared" si="40"/>
        <v>0</v>
      </c>
      <c r="J362" s="99">
        <f t="shared" si="41"/>
        <v>0</v>
      </c>
      <c r="K362" s="99">
        <f t="shared" si="42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38"/>
        <v>0</v>
      </c>
      <c r="H363" s="99">
        <f t="shared" si="39"/>
        <v>0</v>
      </c>
      <c r="I363" s="99">
        <f t="shared" si="40"/>
        <v>0</v>
      </c>
      <c r="J363" s="99">
        <f t="shared" si="41"/>
        <v>0</v>
      </c>
      <c r="K363" s="99">
        <f t="shared" si="42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38"/>
        <v>0</v>
      </c>
      <c r="H364" s="99">
        <f t="shared" si="39"/>
        <v>0</v>
      </c>
      <c r="I364" s="99">
        <f t="shared" si="40"/>
        <v>0</v>
      </c>
      <c r="J364" s="99">
        <f t="shared" si="41"/>
        <v>0</v>
      </c>
      <c r="K364" s="99">
        <f t="shared" si="42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38"/>
        <v>0</v>
      </c>
      <c r="H365" s="99">
        <f t="shared" si="39"/>
        <v>0</v>
      </c>
      <c r="I365" s="99">
        <f t="shared" si="40"/>
        <v>0</v>
      </c>
      <c r="J365" s="99">
        <f t="shared" si="41"/>
        <v>0</v>
      </c>
      <c r="K365" s="99">
        <f t="shared" si="42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38"/>
        <v>0</v>
      </c>
      <c r="H366" s="99">
        <f t="shared" si="39"/>
        <v>0</v>
      </c>
      <c r="I366" s="99">
        <f t="shared" si="40"/>
        <v>0</v>
      </c>
      <c r="J366" s="99">
        <f t="shared" si="41"/>
        <v>0</v>
      </c>
      <c r="K366" s="99">
        <f t="shared" si="42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38"/>
        <v>0</v>
      </c>
      <c r="H367" s="99">
        <f t="shared" si="39"/>
        <v>0</v>
      </c>
      <c r="I367" s="99">
        <f t="shared" si="40"/>
        <v>0</v>
      </c>
      <c r="J367" s="99">
        <f t="shared" si="41"/>
        <v>0</v>
      </c>
      <c r="K367" s="99">
        <f t="shared" si="42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470675</v>
      </c>
      <c r="C371" s="29">
        <f>SUM(C2:C370)</f>
        <v>0</v>
      </c>
      <c r="D371" s="29">
        <f>SUM(D2:D370)</f>
        <v>470675</v>
      </c>
      <c r="E371" s="11"/>
      <c r="F371" s="11"/>
      <c r="G371" s="11"/>
      <c r="H371" s="11"/>
      <c r="I371" s="29">
        <f>SUM(I2:I370)</f>
        <v>19206552179</v>
      </c>
      <c r="J371" s="29">
        <f>SUM(J2:J370)</f>
        <v>8687685429</v>
      </c>
      <c r="K371" s="29">
        <f>SUM(K2:K370)</f>
        <v>10518866750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17933288.682539683</v>
      </c>
      <c r="J374" s="29">
        <f>J371/G2</f>
        <v>8111751.1008403357</v>
      </c>
      <c r="K374" s="29">
        <f>K371/G2</f>
        <v>9821537.5816993471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1667314</v>
      </c>
      <c r="G378" t="s">
        <v>25</v>
      </c>
      <c r="J378">
        <f>J371/I371*1448696</f>
        <v>655287.58170410316</v>
      </c>
      <c r="K378">
        <f>K371/I371*1448696</f>
        <v>793408.41829589673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61"/>
  <sheetViews>
    <sheetView tabSelected="1" topLeftCell="H64" zoomScaleNormal="100" workbookViewId="0">
      <selection activeCell="H111" sqref="H11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4914</v>
      </c>
      <c r="AT11" s="73" t="s">
        <v>4923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 t="s">
        <v>25</v>
      </c>
      <c r="AS12" s="217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7"/>
      <c r="AR14" s="169"/>
      <c r="AS14" s="217"/>
      <c r="AT14" s="217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169"/>
      <c r="AS15" s="217"/>
      <c r="AT15" s="217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7"/>
      <c r="AR16" s="169">
        <f>SUM(AR6:AR14)</f>
        <v>11167982</v>
      </c>
      <c r="AS16" s="217"/>
      <c r="AT16" s="240" t="s">
        <v>4886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470675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7"/>
      <c r="AR17" s="217" t="s">
        <v>6</v>
      </c>
      <c r="AS17" s="217"/>
      <c r="AT17" s="217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74259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S78</f>
        <v>171</v>
      </c>
      <c r="T20" s="168" t="s">
        <v>4309</v>
      </c>
      <c r="U20" s="168">
        <v>192.1</v>
      </c>
      <c r="V20" s="168">
        <f t="shared" ref="V20:V51" si="6">U20*(1+$N$98+$Q$15*S20/36500)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344</v>
      </c>
      <c r="AM20" s="113">
        <f>AJ20*AL20</f>
        <v>6192000000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-N41</f>
        <v>400989331.75249606</v>
      </c>
      <c r="M21" s="168" t="s">
        <v>4301</v>
      </c>
      <c r="N21" s="113">
        <f t="shared" ref="N21:N29" si="9">O21*P21</f>
        <v>14359131.799999999</v>
      </c>
      <c r="O21" s="99">
        <v>82429</v>
      </c>
      <c r="P21" s="186">
        <f>P65</f>
        <v>174.2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343</v>
      </c>
      <c r="AM21" s="113">
        <f t="shared" ref="AM21:AM120" si="11">AJ21*AL21</f>
        <v>857500000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217"/>
      <c r="L22" s="117"/>
      <c r="M22" s="217" t="s">
        <v>4952</v>
      </c>
      <c r="N22" s="113"/>
      <c r="O22" s="99">
        <v>449</v>
      </c>
      <c r="P22" s="186">
        <f>P52</f>
        <v>150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342</v>
      </c>
      <c r="AM22" s="113">
        <f t="shared" si="11"/>
        <v>2736000000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8" t="s">
        <v>4474</v>
      </c>
      <c r="L23" s="117">
        <f>-اسفند97!D74</f>
        <v>-1987080</v>
      </c>
      <c r="M23" s="168" t="s">
        <v>4391</v>
      </c>
      <c r="N23" s="113">
        <f t="shared" si="9"/>
        <v>67884080.5</v>
      </c>
      <c r="O23" s="99">
        <v>19265</v>
      </c>
      <c r="P23" s="186">
        <f>P51</f>
        <v>3523.7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341</v>
      </c>
      <c r="AM23" s="113">
        <f t="shared" si="11"/>
        <v>-27127232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L78</f>
        <v>400554836.75249606</v>
      </c>
      <c r="G24" s="95">
        <f t="shared" si="0"/>
        <v>-120248491.37055743</v>
      </c>
      <c r="H24" s="11"/>
      <c r="I24" s="96"/>
      <c r="J24" s="96"/>
      <c r="K24" s="217"/>
      <c r="L24" s="117"/>
      <c r="M24" s="217" t="s">
        <v>4543</v>
      </c>
      <c r="N24" s="113"/>
      <c r="O24" s="99">
        <v>8808</v>
      </c>
      <c r="P24" s="186">
        <f>P54</f>
        <v>115.1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340</v>
      </c>
      <c r="AM24" s="113">
        <f t="shared" si="11"/>
        <v>56270000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7"/>
      <c r="L25" s="117"/>
      <c r="M25" s="217" t="s">
        <v>4915</v>
      </c>
      <c r="N25" s="113">
        <f t="shared" si="9"/>
        <v>484515</v>
      </c>
      <c r="O25" s="99">
        <v>1998</v>
      </c>
      <c r="P25" s="186">
        <f>P55</f>
        <v>242.5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328</v>
      </c>
      <c r="AM25" s="113">
        <f t="shared" si="11"/>
        <v>-9456347256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7"/>
      <c r="L26" s="117"/>
      <c r="M26" s="217" t="s">
        <v>4410</v>
      </c>
      <c r="N26" s="113">
        <f t="shared" si="9"/>
        <v>85888186.200000003</v>
      </c>
      <c r="O26" s="99">
        <v>144447</v>
      </c>
      <c r="P26" s="186">
        <f>P58</f>
        <v>594.6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322</v>
      </c>
      <c r="AM26" s="113">
        <f t="shared" si="11"/>
        <v>5957000000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7"/>
      <c r="L27" s="117"/>
      <c r="M27" s="217" t="s">
        <v>4542</v>
      </c>
      <c r="N27" s="113">
        <f t="shared" si="9"/>
        <v>86067545.600000009</v>
      </c>
      <c r="O27" s="99">
        <v>20162</v>
      </c>
      <c r="P27" s="186">
        <f>P59</f>
        <v>4268.8</v>
      </c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321</v>
      </c>
      <c r="AM27" s="113">
        <f t="shared" si="11"/>
        <v>-5954550000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7"/>
      <c r="L28" s="117"/>
      <c r="M28" s="217" t="s">
        <v>4941</v>
      </c>
      <c r="N28" s="113">
        <f t="shared" si="9"/>
        <v>64921.5</v>
      </c>
      <c r="O28" s="99">
        <v>229</v>
      </c>
      <c r="P28" s="186">
        <f>P66</f>
        <v>283.5</v>
      </c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320</v>
      </c>
      <c r="AM28" s="113">
        <f t="shared" si="11"/>
        <v>-20787520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 t="s">
        <v>456</v>
      </c>
      <c r="L29" s="117">
        <v>500000</v>
      </c>
      <c r="M29" s="168" t="s">
        <v>4395</v>
      </c>
      <c r="N29" s="113">
        <f t="shared" si="9"/>
        <v>10330028</v>
      </c>
      <c r="O29" s="99">
        <v>1828</v>
      </c>
      <c r="P29" s="99">
        <f>P57</f>
        <v>5651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315</v>
      </c>
      <c r="AM29" s="113">
        <f t="shared" si="11"/>
        <v>2016000000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68"/>
      <c r="N30" s="113"/>
      <c r="O30" s="69" t="s">
        <v>25</v>
      </c>
      <c r="P30" s="99"/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314</v>
      </c>
      <c r="AM30" s="113">
        <f t="shared" si="11"/>
        <v>-53380000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4460</v>
      </c>
      <c r="N31" s="113">
        <v>96516</v>
      </c>
      <c r="O31" s="69" t="s">
        <v>25</v>
      </c>
      <c r="P31" s="99"/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309</v>
      </c>
      <c r="AM31" s="113">
        <f t="shared" si="11"/>
        <v>-1946700000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4395</v>
      </c>
      <c r="N32" s="113">
        <f t="shared" ref="N32:N38" si="13">O32*P32</f>
        <v>265597</v>
      </c>
      <c r="O32" s="69">
        <v>47</v>
      </c>
      <c r="P32" s="99">
        <f>P57</f>
        <v>5651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308</v>
      </c>
      <c r="AM32" s="113">
        <f t="shared" si="11"/>
        <v>-16020620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7"/>
      <c r="L33" s="117"/>
      <c r="M33" s="190" t="s">
        <v>4952</v>
      </c>
      <c r="N33" s="113"/>
      <c r="O33" s="69">
        <v>449</v>
      </c>
      <c r="P33" s="99">
        <f>P52</f>
        <v>150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292</v>
      </c>
      <c r="AM33" s="113">
        <f t="shared" si="11"/>
        <v>5845080800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7"/>
      <c r="L34" s="117"/>
      <c r="M34" s="190" t="s">
        <v>4391</v>
      </c>
      <c r="N34" s="113">
        <f t="shared" si="13"/>
        <v>377035.89999999997</v>
      </c>
      <c r="O34" s="69">
        <v>107</v>
      </c>
      <c r="P34" s="99">
        <f>P51</f>
        <v>3523.7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 t="shared" si="6"/>
        <v>3184.271671232877</v>
      </c>
      <c r="W34" s="32">
        <f t="shared" ref="W34:W51" si="14">V34*(1+$W$19/100)</f>
        <v>3247.9571046575347</v>
      </c>
      <c r="X34" s="32">
        <f t="shared" ref="X34:X51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292</v>
      </c>
      <c r="AM34" s="113">
        <f t="shared" si="11"/>
        <v>296224072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7"/>
      <c r="L35" s="117"/>
      <c r="M35" s="190" t="s">
        <v>4915</v>
      </c>
      <c r="N35" s="113">
        <f t="shared" si="13"/>
        <v>484515</v>
      </c>
      <c r="O35" s="69">
        <v>1998</v>
      </c>
      <c r="P35" s="99">
        <f>P55</f>
        <v>242.5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280</v>
      </c>
      <c r="AM35" s="113">
        <f t="shared" si="11"/>
        <v>100800000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7"/>
      <c r="L36" s="117"/>
      <c r="M36" s="190" t="s">
        <v>4410</v>
      </c>
      <c r="N36" s="113">
        <f t="shared" si="13"/>
        <v>415030.8</v>
      </c>
      <c r="O36" s="69">
        <v>698</v>
      </c>
      <c r="P36" s="99">
        <f>P58</f>
        <v>594.6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278</v>
      </c>
      <c r="AM36" s="113">
        <f t="shared" si="11"/>
        <v>-97300000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7"/>
      <c r="L37" s="117"/>
      <c r="M37" s="190" t="s">
        <v>4941</v>
      </c>
      <c r="N37" s="113">
        <f t="shared" si="13"/>
        <v>64921.5</v>
      </c>
      <c r="O37" s="69">
        <v>229</v>
      </c>
      <c r="P37" s="99">
        <f>P66</f>
        <v>283.5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278</v>
      </c>
      <c r="AM37" s="113">
        <f t="shared" si="11"/>
        <v>278000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90" t="s">
        <v>4439</v>
      </c>
      <c r="N38" s="113">
        <f t="shared" si="13"/>
        <v>3019757</v>
      </c>
      <c r="O38" s="69">
        <v>17335</v>
      </c>
      <c r="P38" s="99">
        <f>P65</f>
        <v>174.2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277</v>
      </c>
      <c r="AM38" s="113">
        <f t="shared" si="11"/>
        <v>9309970000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25</v>
      </c>
      <c r="L39" s="117"/>
      <c r="M39" s="168"/>
      <c r="N39" s="113"/>
      <c r="P39" t="s">
        <v>25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273</v>
      </c>
      <c r="AM39" s="113">
        <f t="shared" si="11"/>
        <v>-4258800000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25</v>
      </c>
      <c r="L40" s="117"/>
      <c r="M40" s="168" t="s">
        <v>756</v>
      </c>
      <c r="N40" s="113">
        <v>3000000</v>
      </c>
      <c r="O40" t="s">
        <v>25</v>
      </c>
      <c r="P40" t="s">
        <v>25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270</v>
      </c>
      <c r="AM40" s="113">
        <f t="shared" si="11"/>
        <v>2025000000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918</v>
      </c>
      <c r="L41" s="117">
        <v>4800000</v>
      </c>
      <c r="M41" s="168" t="s">
        <v>4149</v>
      </c>
      <c r="N41" s="113">
        <f>-S160</f>
        <v>-400989331.75249606</v>
      </c>
      <c r="O41" s="96" t="s">
        <v>25</v>
      </c>
      <c r="P41" s="96" t="s">
        <v>25</v>
      </c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266</v>
      </c>
      <c r="AM41" s="113">
        <f t="shared" si="11"/>
        <v>-26068000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753</v>
      </c>
      <c r="N42" s="113">
        <v>500000</v>
      </c>
      <c r="O42" s="96" t="s">
        <v>25</v>
      </c>
      <c r="P42" s="122" t="s">
        <v>25</v>
      </c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265</v>
      </c>
      <c r="AM42" s="113">
        <f t="shared" si="11"/>
        <v>-6890000000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 t="s">
        <v>1086</v>
      </c>
      <c r="L43" s="117">
        <f>'خرید و فروش سکه فیزیکی'!M48*10*P67</f>
        <v>42300000</v>
      </c>
      <c r="M43" s="168" t="s">
        <v>760</v>
      </c>
      <c r="N43" s="113">
        <v>1200000</v>
      </c>
      <c r="O43" t="s">
        <v>25</v>
      </c>
      <c r="P43" t="s">
        <v>25</v>
      </c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265</v>
      </c>
      <c r="AM43" s="113">
        <f t="shared" si="11"/>
        <v>6625000000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 t="s">
        <v>4841</v>
      </c>
      <c r="L44" s="117">
        <v>-47500000</v>
      </c>
      <c r="M44" s="73"/>
      <c r="N44" s="113"/>
      <c r="O44" s="96" t="s">
        <v>25</v>
      </c>
      <c r="P44" s="96" t="s">
        <v>25</v>
      </c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264</v>
      </c>
      <c r="AM44" s="113">
        <f t="shared" si="11"/>
        <v>29040000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/>
      <c r="L45" s="117"/>
      <c r="M45" s="168" t="s">
        <v>1086</v>
      </c>
      <c r="N45" s="113">
        <f>('خرید و فروش سکه فیزیکی'!M47+3)*10*P67</f>
        <v>32900000</v>
      </c>
      <c r="O45" s="96"/>
      <c r="P45" s="96" t="s">
        <v>25</v>
      </c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263</v>
      </c>
      <c r="AM45" s="113">
        <f t="shared" si="11"/>
        <v>99940000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4840</v>
      </c>
      <c r="N46" s="113">
        <v>-18000000</v>
      </c>
      <c r="O46" s="96"/>
      <c r="P46" s="114"/>
      <c r="Q46" s="169">
        <v>441599</v>
      </c>
      <c r="R46" s="217" t="s">
        <v>4914</v>
      </c>
      <c r="S46" s="198">
        <f>S45-16</f>
        <v>0</v>
      </c>
      <c r="T46" s="217" t="s">
        <v>4917</v>
      </c>
      <c r="U46" s="217">
        <v>220</v>
      </c>
      <c r="V46" s="217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256</v>
      </c>
      <c r="AM46" s="113">
        <f t="shared" si="11"/>
        <v>115200000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4842</v>
      </c>
      <c r="N47" s="113">
        <v>-47000000</v>
      </c>
      <c r="O47" s="96"/>
      <c r="P47" s="96" t="s">
        <v>25</v>
      </c>
      <c r="Q47" s="169">
        <v>1018599</v>
      </c>
      <c r="R47" s="217" t="s">
        <v>4937</v>
      </c>
      <c r="S47" s="198">
        <f>S46-3</f>
        <v>-3</v>
      </c>
      <c r="T47" s="217" t="s">
        <v>4939</v>
      </c>
      <c r="U47" s="217">
        <v>4155.3</v>
      </c>
      <c r="V47" s="217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250</v>
      </c>
      <c r="AM47" s="113">
        <f t="shared" si="11"/>
        <v>700000000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68"/>
      <c r="N48" s="113"/>
      <c r="O48" s="96" t="s">
        <v>25</v>
      </c>
      <c r="P48" s="96" t="s">
        <v>25</v>
      </c>
      <c r="Q48" s="169">
        <v>1001132</v>
      </c>
      <c r="R48" s="217" t="s">
        <v>4937</v>
      </c>
      <c r="S48" s="198">
        <f>S47</f>
        <v>-3</v>
      </c>
      <c r="T48" s="217" t="s">
        <v>4940</v>
      </c>
      <c r="U48" s="217">
        <v>113.1</v>
      </c>
      <c r="V48" s="217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249</v>
      </c>
      <c r="AM48" s="113">
        <f t="shared" si="11"/>
        <v>-373500000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 t="s">
        <v>4614</v>
      </c>
      <c r="L49" s="117">
        <v>331075</v>
      </c>
      <c r="M49" s="168" t="s">
        <v>4459</v>
      </c>
      <c r="N49" s="113">
        <v>98594</v>
      </c>
      <c r="P49" t="s">
        <v>25</v>
      </c>
      <c r="Q49" s="169">
        <v>62110</v>
      </c>
      <c r="R49" s="217" t="s">
        <v>4937</v>
      </c>
      <c r="S49" s="198">
        <f>S48</f>
        <v>-3</v>
      </c>
      <c r="T49" s="217" t="s">
        <v>4942</v>
      </c>
      <c r="U49" s="217">
        <v>270</v>
      </c>
      <c r="V49" s="217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249</v>
      </c>
      <c r="AM49" s="113">
        <f t="shared" si="11"/>
        <v>759450000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 t="s">
        <v>4947</v>
      </c>
      <c r="L50" s="117">
        <v>-300000</v>
      </c>
      <c r="M50" s="168"/>
      <c r="N50" s="113"/>
      <c r="O50" s="99"/>
      <c r="P50" s="99"/>
      <c r="Q50" s="169">
        <v>67655</v>
      </c>
      <c r="R50" s="217" t="s">
        <v>4946</v>
      </c>
      <c r="S50" s="198">
        <f>S49-1</f>
        <v>-4</v>
      </c>
      <c r="T50" s="217" t="s">
        <v>4953</v>
      </c>
      <c r="U50" s="217">
        <v>150</v>
      </c>
      <c r="V50" s="217">
        <f t="shared" si="6"/>
        <v>151.21972602739726</v>
      </c>
      <c r="W50" s="32">
        <f t="shared" si="14"/>
        <v>154.24412054794522</v>
      </c>
      <c r="X50" s="32">
        <f t="shared" si="15"/>
        <v>157.26851506849314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246</v>
      </c>
      <c r="AM50" s="113">
        <f t="shared" si="11"/>
        <v>-2041704552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56" t="s">
        <v>4948</v>
      </c>
      <c r="L51" s="117">
        <v>-600000</v>
      </c>
      <c r="M51" s="208" t="s">
        <v>4391</v>
      </c>
      <c r="N51" s="113">
        <f>O51*P51</f>
        <v>96651567.299999997</v>
      </c>
      <c r="O51" s="99">
        <v>27429</v>
      </c>
      <c r="P51" s="99">
        <v>3523.7</v>
      </c>
      <c r="Q51" s="169"/>
      <c r="R51" s="168"/>
      <c r="S51" s="168"/>
      <c r="T51" s="168"/>
      <c r="U51" s="168"/>
      <c r="V51" s="217">
        <f t="shared" si="6"/>
        <v>0</v>
      </c>
      <c r="W51" s="32">
        <f t="shared" si="14"/>
        <v>0</v>
      </c>
      <c r="X51" s="32">
        <f t="shared" si="15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244</v>
      </c>
      <c r="AM51" s="113">
        <f t="shared" si="11"/>
        <v>1220000000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208" t="s">
        <v>4952</v>
      </c>
      <c r="N52" s="113">
        <f>O52*P52</f>
        <v>67350</v>
      </c>
      <c r="O52" s="99">
        <v>449</v>
      </c>
      <c r="P52" s="99">
        <v>150</v>
      </c>
      <c r="Q52" s="169">
        <f>SUM(N21:N29)-SUM(Q20:Q51)</f>
        <v>17976160.600000024</v>
      </c>
      <c r="R52" s="168"/>
      <c r="S52" s="168" t="s">
        <v>25</v>
      </c>
      <c r="T52" s="168"/>
      <c r="U52" s="168"/>
      <c r="V52" s="168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230</v>
      </c>
      <c r="AM52" s="113">
        <f t="shared" si="11"/>
        <v>-20700000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4949</v>
      </c>
      <c r="L53" s="117">
        <v>900000</v>
      </c>
      <c r="M53" s="21" t="s">
        <v>4590</v>
      </c>
      <c r="N53" s="117">
        <f t="shared" ref="N53:N67" si="16">O53*P53</f>
        <v>755600</v>
      </c>
      <c r="O53" s="69">
        <v>2000</v>
      </c>
      <c r="P53" s="69">
        <v>377.8</v>
      </c>
      <c r="R53" s="115"/>
      <c r="S53" s="115" t="s">
        <v>25</v>
      </c>
      <c r="T53" s="115"/>
      <c r="U53" s="115"/>
      <c r="V53" s="115"/>
      <c r="W53" s="195"/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229</v>
      </c>
      <c r="AM53" s="113">
        <f t="shared" si="11"/>
        <v>1282400000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4543</v>
      </c>
      <c r="N54" s="117">
        <f t="shared" si="16"/>
        <v>102208.79999999999</v>
      </c>
      <c r="O54" s="69">
        <v>888</v>
      </c>
      <c r="P54" s="69">
        <v>115.1</v>
      </c>
      <c r="Q54" s="96"/>
      <c r="R54" s="115"/>
      <c r="S54" s="115"/>
      <c r="T54" s="115" t="s">
        <v>25</v>
      </c>
      <c r="U54" s="115"/>
      <c r="V54" s="115"/>
      <c r="W54" s="195"/>
      <c r="X54" s="195"/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225</v>
      </c>
      <c r="AM54" s="113">
        <f t="shared" si="11"/>
        <v>168750000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4916</v>
      </c>
      <c r="N55" s="117">
        <f t="shared" si="16"/>
        <v>484515</v>
      </c>
      <c r="O55" s="69">
        <v>1998</v>
      </c>
      <c r="P55" s="69">
        <v>242.5</v>
      </c>
      <c r="Q55" s="168" t="s">
        <v>657</v>
      </c>
      <c r="R55" s="168"/>
      <c r="S55" s="168"/>
      <c r="T55" s="168"/>
      <c r="U55" s="168"/>
      <c r="V55" s="168"/>
      <c r="W55" s="32"/>
      <c r="X55" s="32"/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223</v>
      </c>
      <c r="AM55" s="170">
        <f t="shared" si="11"/>
        <v>-945966000</v>
      </c>
      <c r="AN55" s="171" t="s">
        <v>4062</v>
      </c>
    </row>
    <row r="56" spans="1:45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4576</v>
      </c>
      <c r="N56" s="117">
        <f t="shared" si="16"/>
        <v>1091700</v>
      </c>
      <c r="O56" s="69">
        <v>1000</v>
      </c>
      <c r="P56" s="69">
        <v>1091.7</v>
      </c>
      <c r="Q56" s="168" t="s">
        <v>267</v>
      </c>
      <c r="R56" s="168" t="s">
        <v>180</v>
      </c>
      <c r="S56" s="168" t="s">
        <v>183</v>
      </c>
      <c r="T56" s="168" t="s">
        <v>8</v>
      </c>
      <c r="U56" s="168" t="s">
        <v>4363</v>
      </c>
      <c r="V56" s="73" t="s">
        <v>4365</v>
      </c>
      <c r="W56" s="32">
        <v>2</v>
      </c>
      <c r="X56" s="32">
        <v>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221</v>
      </c>
      <c r="AM56" s="113">
        <f t="shared" si="11"/>
        <v>906100000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19" t="s">
        <v>4395</v>
      </c>
      <c r="N57" s="113">
        <f t="shared" si="16"/>
        <v>162997444</v>
      </c>
      <c r="O57" s="69">
        <v>28844</v>
      </c>
      <c r="P57" s="69">
        <v>5651</v>
      </c>
      <c r="Q57" s="168">
        <v>0</v>
      </c>
      <c r="R57" s="168" t="s">
        <v>4172</v>
      </c>
      <c r="S57" s="168">
        <f>S78</f>
        <v>171</v>
      </c>
      <c r="T57" s="168"/>
      <c r="U57" s="168"/>
      <c r="V57" s="73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221</v>
      </c>
      <c r="AM57" s="113">
        <f t="shared" si="11"/>
        <v>906100000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9" t="s">
        <v>4410</v>
      </c>
      <c r="N58" s="117">
        <f t="shared" si="16"/>
        <v>63372468</v>
      </c>
      <c r="O58" s="69">
        <v>106580</v>
      </c>
      <c r="P58" s="69">
        <v>594.6</v>
      </c>
      <c r="Q58" s="169">
        <v>863944</v>
      </c>
      <c r="R58" s="168" t="s">
        <v>4438</v>
      </c>
      <c r="S58" s="168">
        <f>S57-62</f>
        <v>109</v>
      </c>
      <c r="T58" s="191" t="s">
        <v>4513</v>
      </c>
      <c r="U58" s="168">
        <v>184.6</v>
      </c>
      <c r="V58" s="168">
        <f t="shared" ref="V58:V69" si="17">U58*(1+$N$98+$Q$15*S58/36500)</f>
        <v>202.10311452054796</v>
      </c>
      <c r="W58" s="32">
        <f t="shared" ref="W58:W69" si="18">V58*(1+$W$19/100)</f>
        <v>206.14517681095893</v>
      </c>
      <c r="X58" s="32">
        <f t="shared" ref="X58:X69" si="19">V58*(1+$X$19/100)</f>
        <v>210.1872391013699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220</v>
      </c>
      <c r="AM58" s="113">
        <f t="shared" si="11"/>
        <v>173800000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4542</v>
      </c>
      <c r="N59" s="117">
        <f t="shared" si="16"/>
        <v>4623110.4000000004</v>
      </c>
      <c r="O59" s="69">
        <v>1083</v>
      </c>
      <c r="P59" s="69">
        <v>4268.8</v>
      </c>
      <c r="Q59" s="169">
        <v>1692313</v>
      </c>
      <c r="R59" s="168" t="s">
        <v>4516</v>
      </c>
      <c r="S59" s="198">
        <f>S58-21</f>
        <v>88</v>
      </c>
      <c r="T59" s="190" t="s">
        <v>4517</v>
      </c>
      <c r="U59" s="168">
        <v>168.5</v>
      </c>
      <c r="V59" s="168">
        <f t="shared" si="17"/>
        <v>181.76210410958907</v>
      </c>
      <c r="W59" s="32">
        <f t="shared" si="18"/>
        <v>185.39734619178085</v>
      </c>
      <c r="X59" s="32">
        <f t="shared" si="19"/>
        <v>189.03258827397264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205</v>
      </c>
      <c r="AM59" s="172">
        <f t="shared" si="11"/>
        <v>-792325000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 t="s">
        <v>25</v>
      </c>
      <c r="L60" s="117"/>
      <c r="M60" s="21" t="s">
        <v>4541</v>
      </c>
      <c r="N60" s="117">
        <f t="shared" si="16"/>
        <v>15600280.199999999</v>
      </c>
      <c r="O60" s="69">
        <v>2913</v>
      </c>
      <c r="P60" s="69">
        <v>5355.4</v>
      </c>
      <c r="Q60" s="169">
        <v>101153</v>
      </c>
      <c r="R60" s="168" t="s">
        <v>4519</v>
      </c>
      <c r="S60" s="198">
        <f>S59-1</f>
        <v>87</v>
      </c>
      <c r="T60" s="190" t="s">
        <v>4521</v>
      </c>
      <c r="U60" s="168">
        <v>166.7</v>
      </c>
      <c r="V60" s="168">
        <f t="shared" si="17"/>
        <v>179.69255232876711</v>
      </c>
      <c r="W60" s="32">
        <f t="shared" si="18"/>
        <v>183.28640337534245</v>
      </c>
      <c r="X60" s="32">
        <f t="shared" si="19"/>
        <v>186.88025442191781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199</v>
      </c>
      <c r="AM60" s="113">
        <f t="shared" si="11"/>
        <v>3741200000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 t="s">
        <v>25</v>
      </c>
      <c r="L61" s="117"/>
      <c r="M61" s="21" t="s">
        <v>4623</v>
      </c>
      <c r="N61" s="117">
        <f t="shared" si="16"/>
        <v>4142730</v>
      </c>
      <c r="O61" s="69">
        <v>5100</v>
      </c>
      <c r="P61" s="69">
        <v>812.3</v>
      </c>
      <c r="Q61" s="169">
        <v>183105</v>
      </c>
      <c r="R61" s="168" t="s">
        <v>4231</v>
      </c>
      <c r="S61" s="198">
        <f>S60-1</f>
        <v>86</v>
      </c>
      <c r="T61" s="190" t="s">
        <v>4525</v>
      </c>
      <c r="U61" s="168">
        <v>166.6</v>
      </c>
      <c r="V61" s="168">
        <f t="shared" si="17"/>
        <v>179.45695561643836</v>
      </c>
      <c r="W61" s="32">
        <f t="shared" si="18"/>
        <v>183.04609472876714</v>
      </c>
      <c r="X61" s="32">
        <f t="shared" si="19"/>
        <v>186.6352338410959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196</v>
      </c>
      <c r="AM61" s="113">
        <f t="shared" si="11"/>
        <v>98000000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21" t="s">
        <v>4296</v>
      </c>
      <c r="N62" s="117">
        <f>O62*P62</f>
        <v>2220148.1</v>
      </c>
      <c r="O62" s="69">
        <v>6997</v>
      </c>
      <c r="P62" s="69">
        <v>317.3</v>
      </c>
      <c r="Q62" s="169">
        <v>168846</v>
      </c>
      <c r="R62" s="168" t="s">
        <v>3691</v>
      </c>
      <c r="S62" s="198">
        <f>S61-30</f>
        <v>56</v>
      </c>
      <c r="T62" s="190" t="s">
        <v>4631</v>
      </c>
      <c r="U62" s="168">
        <v>172.2</v>
      </c>
      <c r="V62" s="168">
        <f t="shared" si="17"/>
        <v>181.52616328767124</v>
      </c>
      <c r="W62" s="32">
        <f t="shared" si="18"/>
        <v>185.15668655342466</v>
      </c>
      <c r="X62" s="32">
        <f t="shared" si="19"/>
        <v>188.78720981917809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195</v>
      </c>
      <c r="AM62" s="113">
        <f t="shared" si="11"/>
        <v>39000000</v>
      </c>
      <c r="AN62" s="20"/>
    </row>
    <row r="63" spans="1:45">
      <c r="E63" s="26"/>
      <c r="K63" s="99"/>
      <c r="L63" s="117"/>
      <c r="M63" s="19" t="s">
        <v>4594</v>
      </c>
      <c r="N63" s="113">
        <f t="shared" si="16"/>
        <v>214905.59999999998</v>
      </c>
      <c r="O63" s="69">
        <v>1148</v>
      </c>
      <c r="P63" s="69">
        <v>187.2</v>
      </c>
      <c r="Q63" s="169">
        <v>250962</v>
      </c>
      <c r="R63" s="168" t="s">
        <v>4675</v>
      </c>
      <c r="S63" s="198">
        <f>S62-10</f>
        <v>46</v>
      </c>
      <c r="T63" s="190" t="s">
        <v>4676</v>
      </c>
      <c r="U63" s="168">
        <v>5315.5</v>
      </c>
      <c r="V63" s="168">
        <f t="shared" si="17"/>
        <v>5562.6052164383564</v>
      </c>
      <c r="W63" s="32">
        <f t="shared" si="18"/>
        <v>5673.8573207671234</v>
      </c>
      <c r="X63" s="32">
        <f t="shared" si="19"/>
        <v>5785.1094250958904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192</v>
      </c>
      <c r="AM63" s="113">
        <f t="shared" si="11"/>
        <v>192000000</v>
      </c>
      <c r="AN63" s="20"/>
    </row>
    <row r="64" spans="1:45">
      <c r="E64" s="26"/>
      <c r="K64" s="99"/>
      <c r="L64" s="117"/>
      <c r="M64" s="21" t="s">
        <v>4640</v>
      </c>
      <c r="N64" s="117">
        <f t="shared" si="16"/>
        <v>1282050</v>
      </c>
      <c r="O64" s="69">
        <v>5500</v>
      </c>
      <c r="P64" s="69">
        <v>233.1</v>
      </c>
      <c r="Q64" s="169">
        <v>352231</v>
      </c>
      <c r="R64" s="217" t="s">
        <v>4725</v>
      </c>
      <c r="S64" s="198">
        <f>S63-7</f>
        <v>39</v>
      </c>
      <c r="T64" s="190" t="s">
        <v>4727</v>
      </c>
      <c r="U64" s="217">
        <v>502.3</v>
      </c>
      <c r="V64" s="217">
        <f t="shared" si="17"/>
        <v>522.95347506849316</v>
      </c>
      <c r="W64" s="32">
        <f t="shared" si="18"/>
        <v>533.41254456986303</v>
      </c>
      <c r="X64" s="32">
        <f t="shared" si="19"/>
        <v>543.8716140712329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189</v>
      </c>
      <c r="AM64" s="113">
        <f t="shared" si="11"/>
        <v>245700000</v>
      </c>
      <c r="AN64" s="20"/>
    </row>
    <row r="65" spans="1:40">
      <c r="K65" s="56"/>
      <c r="L65" s="117"/>
      <c r="M65" s="19" t="s">
        <v>4179</v>
      </c>
      <c r="N65" s="113">
        <f t="shared" si="16"/>
        <v>218880209.59999999</v>
      </c>
      <c r="O65" s="99">
        <v>1256488</v>
      </c>
      <c r="P65" s="99">
        <v>174.2</v>
      </c>
      <c r="Q65" s="169">
        <v>165067</v>
      </c>
      <c r="R65" s="217" t="s">
        <v>4776</v>
      </c>
      <c r="S65" s="198">
        <f>S64-16</f>
        <v>23</v>
      </c>
      <c r="T65" s="190" t="s">
        <v>4784</v>
      </c>
      <c r="U65" s="217">
        <v>3095.9</v>
      </c>
      <c r="V65" s="217">
        <f t="shared" si="17"/>
        <v>3185.1976306849319</v>
      </c>
      <c r="W65" s="32">
        <f t="shared" si="18"/>
        <v>3248.9015832986306</v>
      </c>
      <c r="X65" s="32">
        <f t="shared" si="19"/>
        <v>3312.6055359123293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189</v>
      </c>
      <c r="AM65" s="113">
        <f t="shared" si="11"/>
        <v>188055000</v>
      </c>
      <c r="AN65" s="20"/>
    </row>
    <row r="66" spans="1:40">
      <c r="K66" s="56"/>
      <c r="L66" s="117"/>
      <c r="M66" s="19" t="s">
        <v>4941</v>
      </c>
      <c r="N66" s="113">
        <f t="shared" si="16"/>
        <v>64921.5</v>
      </c>
      <c r="O66" s="99">
        <v>229</v>
      </c>
      <c r="P66" s="99">
        <v>283.5</v>
      </c>
      <c r="Q66" s="169">
        <v>441599</v>
      </c>
      <c r="R66" s="217" t="s">
        <v>4914</v>
      </c>
      <c r="S66" s="198">
        <f>S65-23</f>
        <v>0</v>
      </c>
      <c r="T66" s="190" t="s">
        <v>4917</v>
      </c>
      <c r="U66" s="217">
        <v>220</v>
      </c>
      <c r="V66" s="217">
        <f t="shared" si="17"/>
        <v>222.46400000000003</v>
      </c>
      <c r="W66" s="32">
        <f t="shared" si="18"/>
        <v>226.91328000000004</v>
      </c>
      <c r="X66" s="32">
        <f t="shared" si="19"/>
        <v>231.36256000000003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187</v>
      </c>
      <c r="AM66" s="113">
        <f t="shared" si="11"/>
        <v>2431000000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21" t="s">
        <v>1086</v>
      </c>
      <c r="N67" s="117">
        <f t="shared" si="16"/>
        <v>14100000</v>
      </c>
      <c r="O67" s="69">
        <v>30</v>
      </c>
      <c r="P67" s="69">
        <v>470000</v>
      </c>
      <c r="Q67" s="169">
        <v>62110</v>
      </c>
      <c r="R67" s="217" t="s">
        <v>4937</v>
      </c>
      <c r="S67" s="198">
        <f>S66-3</f>
        <v>-3</v>
      </c>
      <c r="T67" s="190" t="s">
        <v>4942</v>
      </c>
      <c r="U67" s="217">
        <v>270</v>
      </c>
      <c r="V67" s="217">
        <f t="shared" si="17"/>
        <v>272.40263013698632</v>
      </c>
      <c r="W67" s="32">
        <f t="shared" si="18"/>
        <v>277.85068273972604</v>
      </c>
      <c r="X67" s="32">
        <f t="shared" si="19"/>
        <v>283.29873534246576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185</v>
      </c>
      <c r="AM67" s="113">
        <f t="shared" si="11"/>
        <v>-573500000</v>
      </c>
      <c r="AN67" s="20"/>
    </row>
    <row r="68" spans="1:40">
      <c r="F68" t="s">
        <v>4103</v>
      </c>
      <c r="G68" t="s">
        <v>4098</v>
      </c>
      <c r="K68" s="99"/>
      <c r="L68" s="117"/>
      <c r="M68" s="73"/>
      <c r="N68" s="117"/>
      <c r="O68" s="122"/>
      <c r="P68" s="122"/>
      <c r="Q68" s="169">
        <v>67655</v>
      </c>
      <c r="R68" s="217" t="s">
        <v>4946</v>
      </c>
      <c r="S68" s="198">
        <f>S67-1</f>
        <v>-4</v>
      </c>
      <c r="T68" s="190" t="s">
        <v>4953</v>
      </c>
      <c r="U68" s="217">
        <v>150</v>
      </c>
      <c r="V68" s="217">
        <f t="shared" si="17"/>
        <v>151.21972602739726</v>
      </c>
      <c r="W68" s="32">
        <f t="shared" si="18"/>
        <v>154.24412054794522</v>
      </c>
      <c r="X68" s="32">
        <f t="shared" si="19"/>
        <v>157.26851506849314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182</v>
      </c>
      <c r="AM68" s="113">
        <f t="shared" si="11"/>
        <v>8306480000</v>
      </c>
      <c r="AN68" s="20"/>
    </row>
    <row r="69" spans="1:40">
      <c r="F69" t="s">
        <v>4104</v>
      </c>
      <c r="G69" t="s">
        <v>4100</v>
      </c>
      <c r="K69" s="99"/>
      <c r="L69" s="117"/>
      <c r="M69" s="168" t="s">
        <v>1152</v>
      </c>
      <c r="N69" s="117">
        <v>14908</v>
      </c>
      <c r="O69" s="96" t="s">
        <v>25</v>
      </c>
      <c r="P69" t="s">
        <v>25</v>
      </c>
      <c r="Q69" s="169"/>
      <c r="R69" s="168"/>
      <c r="S69" s="113"/>
      <c r="T69" s="113"/>
      <c r="U69" s="168"/>
      <c r="V69" s="168">
        <f t="shared" si="17"/>
        <v>0</v>
      </c>
      <c r="W69" s="32">
        <f t="shared" si="18"/>
        <v>0</v>
      </c>
      <c r="X69" s="32">
        <f t="shared" si="19"/>
        <v>0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181</v>
      </c>
      <c r="AM69" s="113">
        <f t="shared" si="11"/>
        <v>6063500000</v>
      </c>
      <c r="AN69" s="20"/>
    </row>
    <row r="70" spans="1:40">
      <c r="G70" t="s">
        <v>4101</v>
      </c>
      <c r="K70" s="99"/>
      <c r="L70" s="99"/>
      <c r="M70" s="168" t="s">
        <v>1153</v>
      </c>
      <c r="N70" s="117">
        <v>5282</v>
      </c>
      <c r="O70" s="96"/>
      <c r="P70" t="s">
        <v>25</v>
      </c>
      <c r="Q70" s="113">
        <f>SUM(N32:N38)-SUM(Q57:Q69)</f>
        <v>277872.20000000019</v>
      </c>
      <c r="R70" s="168"/>
      <c r="S70" s="168"/>
      <c r="T70" s="168"/>
      <c r="U70" s="168"/>
      <c r="V70" s="168"/>
      <c r="W70" s="32"/>
      <c r="X70" s="32"/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180</v>
      </c>
      <c r="AM70" s="117">
        <f t="shared" si="11"/>
        <v>2160000000</v>
      </c>
      <c r="AN70" s="20"/>
    </row>
    <row r="71" spans="1:40">
      <c r="G71" t="s">
        <v>4102</v>
      </c>
      <c r="K71" s="168"/>
      <c r="L71" s="117"/>
      <c r="M71" s="168"/>
      <c r="N71" s="113"/>
      <c r="O71" s="115"/>
      <c r="P71" s="115"/>
      <c r="R71" s="115"/>
      <c r="S71" s="115"/>
      <c r="T71" s="115" t="s">
        <v>25</v>
      </c>
      <c r="U71" s="115"/>
      <c r="V71" s="115"/>
      <c r="W71" s="195"/>
      <c r="X71" s="195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179</v>
      </c>
      <c r="AM71" s="117">
        <f t="shared" si="11"/>
        <v>2774500000</v>
      </c>
      <c r="AN71" s="20"/>
    </row>
    <row r="72" spans="1:40">
      <c r="G72" t="s">
        <v>4106</v>
      </c>
      <c r="K72" s="168" t="s">
        <v>25</v>
      </c>
      <c r="L72" s="117"/>
      <c r="M72" s="168" t="s">
        <v>4180</v>
      </c>
      <c r="N72" s="113">
        <f>-O72*P72</f>
        <v>-11594229.399999999</v>
      </c>
      <c r="O72" s="99">
        <v>66557</v>
      </c>
      <c r="P72" s="99">
        <f>P65</f>
        <v>174.2</v>
      </c>
      <c r="Q72" t="s">
        <v>25</v>
      </c>
      <c r="S72" s="26" t="s">
        <v>25</v>
      </c>
      <c r="T72" t="s">
        <v>25</v>
      </c>
      <c r="U72" s="96" t="s">
        <v>25</v>
      </c>
      <c r="V72" s="115" t="s">
        <v>25</v>
      </c>
      <c r="W72" s="195"/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175</v>
      </c>
      <c r="AM72" s="117">
        <f t="shared" si="11"/>
        <v>26250000</v>
      </c>
      <c r="AN72" s="20"/>
    </row>
    <row r="73" spans="1:40">
      <c r="G73" t="s">
        <v>4105</v>
      </c>
      <c r="K73" s="168"/>
      <c r="L73" s="117"/>
      <c r="M73" s="168"/>
      <c r="N73" s="113"/>
      <c r="Q73" t="s">
        <v>25</v>
      </c>
      <c r="T73" t="s">
        <v>25</v>
      </c>
      <c r="W73" s="195"/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174</v>
      </c>
      <c r="AM73" s="180">
        <f t="shared" si="11"/>
        <v>5046000000</v>
      </c>
      <c r="AN73" s="179" t="s">
        <v>4186</v>
      </c>
    </row>
    <row r="74" spans="1:40">
      <c r="K74" s="168"/>
      <c r="L74" s="117"/>
      <c r="M74" s="168"/>
      <c r="N74" s="113"/>
      <c r="T74" t="s">
        <v>25</v>
      </c>
      <c r="U74" s="96" t="s">
        <v>25</v>
      </c>
      <c r="V74" t="s">
        <v>25</v>
      </c>
      <c r="W74" s="195"/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159</v>
      </c>
      <c r="AM74" s="117">
        <f t="shared" si="11"/>
        <v>-20670000</v>
      </c>
      <c r="AN74" s="20" t="s">
        <v>4212</v>
      </c>
    </row>
    <row r="75" spans="1:40">
      <c r="K75" s="168"/>
      <c r="L75" s="117"/>
      <c r="M75" s="168" t="s">
        <v>4446</v>
      </c>
      <c r="N75" s="113">
        <f>-S161</f>
        <v>-15341438.343549296</v>
      </c>
      <c r="W75" s="195"/>
      <c r="X75" s="195"/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152</v>
      </c>
      <c r="AM75" s="117">
        <f>AJ75*AL75</f>
        <v>35264000</v>
      </c>
      <c r="AN75" s="20" t="s">
        <v>4260</v>
      </c>
    </row>
    <row r="76" spans="1:40" ht="30">
      <c r="D76" s="3"/>
      <c r="E76" s="11" t="s">
        <v>304</v>
      </c>
      <c r="K76" s="168"/>
      <c r="L76" s="117"/>
      <c r="M76" s="168" t="s">
        <v>4750</v>
      </c>
      <c r="N76" s="113">
        <f>50*P67</f>
        <v>23500000</v>
      </c>
      <c r="P76" t="s">
        <v>25</v>
      </c>
      <c r="Q76" s="73" t="s">
        <v>4295</v>
      </c>
      <c r="R76" s="112"/>
      <c r="S76" s="112"/>
      <c r="T76" s="112"/>
      <c r="U76" s="168" t="s">
        <v>4363</v>
      </c>
      <c r="V76" s="36" t="s">
        <v>4365</v>
      </c>
      <c r="W76" s="32"/>
      <c r="X76" s="32"/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150</v>
      </c>
      <c r="AM76" s="117">
        <f t="shared" si="11"/>
        <v>-25500000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/>
      <c r="N77" s="113"/>
      <c r="P77" t="s">
        <v>25</v>
      </c>
      <c r="Q77" s="112" t="s">
        <v>267</v>
      </c>
      <c r="R77" s="112" t="s">
        <v>180</v>
      </c>
      <c r="S77" s="112" t="s">
        <v>183</v>
      </c>
      <c r="T77" s="112" t="s">
        <v>8</v>
      </c>
      <c r="U77" s="168"/>
      <c r="V77" s="99"/>
      <c r="W77" s="32">
        <v>2</v>
      </c>
      <c r="X77" s="32">
        <v>4</v>
      </c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147</v>
      </c>
      <c r="AM77" s="117">
        <f t="shared" si="11"/>
        <v>-44100000</v>
      </c>
      <c r="AN77" s="20"/>
    </row>
    <row r="78" spans="1:40">
      <c r="D78" s="1" t="s">
        <v>321</v>
      </c>
      <c r="E78" s="1">
        <v>100000</v>
      </c>
      <c r="K78" s="168" t="s">
        <v>598</v>
      </c>
      <c r="L78" s="113">
        <f>SUM(L16:L61)</f>
        <v>400554836.75249606</v>
      </c>
      <c r="M78" s="168"/>
      <c r="N78" s="113">
        <f>SUM(N16:N77)</f>
        <v>425440708.80395466</v>
      </c>
      <c r="Q78" s="35">
        <v>184971545</v>
      </c>
      <c r="R78" s="5" t="s">
        <v>4172</v>
      </c>
      <c r="S78" s="5">
        <v>171</v>
      </c>
      <c r="T78" s="5" t="s">
        <v>4346</v>
      </c>
      <c r="U78" s="168">
        <v>192</v>
      </c>
      <c r="V78" s="99">
        <f t="shared" ref="V78:V109" si="21">U78*(1+$N$98+$Q$15*S78/36500)</f>
        <v>219.33659178082192</v>
      </c>
      <c r="W78" s="32">
        <f t="shared" ref="W78:W100" si="22">V78*(1+$W$19/100)</f>
        <v>223.72332361643836</v>
      </c>
      <c r="X78" s="32">
        <f t="shared" ref="X78:X100" si="23">V78*(1+$X$19/100)</f>
        <v>228.11005545205481</v>
      </c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144</v>
      </c>
      <c r="AM78" s="117">
        <f t="shared" si="11"/>
        <v>-1641600000</v>
      </c>
      <c r="AN78" s="20"/>
    </row>
    <row r="79" spans="1:40">
      <c r="D79" s="1" t="s">
        <v>306</v>
      </c>
      <c r="E79" s="1">
        <v>80000</v>
      </c>
      <c r="K79" s="168" t="s">
        <v>599</v>
      </c>
      <c r="L79" s="113">
        <f>L16+L17+L29</f>
        <v>621510</v>
      </c>
      <c r="M79" s="168"/>
      <c r="N79" s="113">
        <f>N16+N17+N42</f>
        <v>1083980</v>
      </c>
      <c r="Q79" s="35">
        <v>9560464</v>
      </c>
      <c r="R79" s="5" t="s">
        <v>4299</v>
      </c>
      <c r="S79" s="5">
        <f>S78-31</f>
        <v>140</v>
      </c>
      <c r="T79" s="5" t="s">
        <v>4312</v>
      </c>
      <c r="U79" s="168">
        <v>214.57</v>
      </c>
      <c r="V79" s="99">
        <f t="shared" si="21"/>
        <v>240.0174141369863</v>
      </c>
      <c r="W79" s="32">
        <f t="shared" si="22"/>
        <v>244.81776241972602</v>
      </c>
      <c r="X79" s="32">
        <f t="shared" si="23"/>
        <v>249.61811070246577</v>
      </c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131</v>
      </c>
      <c r="AM79" s="117">
        <f>AJ79*AL79</f>
        <v>-1310000000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56" t="s">
        <v>716</v>
      </c>
      <c r="L80" s="1">
        <f>L78+N7</f>
        <v>470554836.75249606</v>
      </c>
      <c r="M80" s="113"/>
      <c r="N80" s="168"/>
      <c r="O80" s="115"/>
      <c r="P80" s="115"/>
      <c r="Q80" s="35">
        <v>2000000</v>
      </c>
      <c r="R80" s="5" t="s">
        <v>4342</v>
      </c>
      <c r="S80" s="5">
        <f>S79-11</f>
        <v>129</v>
      </c>
      <c r="T80" s="5" t="s">
        <v>4345</v>
      </c>
      <c r="U80" s="168">
        <v>206.8</v>
      </c>
      <c r="V80" s="99">
        <f t="shared" si="21"/>
        <v>229.58086136986304</v>
      </c>
      <c r="W80" s="32">
        <f t="shared" si="22"/>
        <v>234.17247859726032</v>
      </c>
      <c r="X80" s="32">
        <f t="shared" si="23"/>
        <v>238.76409582465757</v>
      </c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130</v>
      </c>
      <c r="AM80" s="117">
        <f>AJ80*AL80</f>
        <v>-318500000</v>
      </c>
      <c r="AN80" s="20"/>
    </row>
    <row r="81" spans="4:52">
      <c r="D81" s="31" t="s">
        <v>308</v>
      </c>
      <c r="E81" s="1">
        <v>300000</v>
      </c>
      <c r="O81" s="96"/>
      <c r="P81" s="96"/>
      <c r="Q81" s="35">
        <v>1429825</v>
      </c>
      <c r="R81" s="5" t="s">
        <v>4372</v>
      </c>
      <c r="S81" s="5">
        <f>S80-7</f>
        <v>122</v>
      </c>
      <c r="T81" s="5" t="s">
        <v>4381</v>
      </c>
      <c r="U81" s="168">
        <v>203.9</v>
      </c>
      <c r="V81" s="99">
        <f t="shared" si="21"/>
        <v>225.26648547945209</v>
      </c>
      <c r="W81" s="32">
        <f t="shared" si="22"/>
        <v>229.77181518904112</v>
      </c>
      <c r="X81" s="32">
        <f t="shared" si="23"/>
        <v>234.27714489863018</v>
      </c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125</v>
      </c>
      <c r="AM81" s="117">
        <f t="shared" si="11"/>
        <v>-57010125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25"/>
      <c r="O82" t="s">
        <v>25</v>
      </c>
      <c r="Q82" s="35">
        <v>1420747</v>
      </c>
      <c r="R82" s="5" t="s">
        <v>4372</v>
      </c>
      <c r="S82" s="5">
        <f>S81</f>
        <v>122</v>
      </c>
      <c r="T82" s="5" t="s">
        <v>4383</v>
      </c>
      <c r="U82" s="168">
        <v>203.1</v>
      </c>
      <c r="V82" s="99">
        <f t="shared" si="21"/>
        <v>224.38265424657536</v>
      </c>
      <c r="W82" s="32">
        <f t="shared" si="22"/>
        <v>228.87030733150687</v>
      </c>
      <c r="X82" s="32">
        <f t="shared" si="23"/>
        <v>233.35796041643837</v>
      </c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124</v>
      </c>
      <c r="AM82" s="117">
        <f t="shared" si="11"/>
        <v>-62000000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25" t="s">
        <v>4080</v>
      </c>
      <c r="N83" s="99" t="s">
        <v>452</v>
      </c>
      <c r="O83" s="113">
        <f>O65*25</f>
        <v>31412200</v>
      </c>
      <c r="P83" s="115"/>
      <c r="Q83" s="35">
        <v>2412371</v>
      </c>
      <c r="R83" s="5" t="s">
        <v>4374</v>
      </c>
      <c r="S83" s="5">
        <f>S82-1</f>
        <v>121</v>
      </c>
      <c r="T83" s="5" t="s">
        <v>4390</v>
      </c>
      <c r="U83" s="168">
        <v>3930</v>
      </c>
      <c r="V83" s="99">
        <f t="shared" si="21"/>
        <v>4338.8061369863017</v>
      </c>
      <c r="W83" s="32">
        <f t="shared" si="22"/>
        <v>4425.5822597260276</v>
      </c>
      <c r="X83" s="32">
        <f t="shared" si="23"/>
        <v>4512.3583824657535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122</v>
      </c>
      <c r="AM83" s="117">
        <f t="shared" si="11"/>
        <v>-760593140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77"/>
      <c r="N84" s="99" t="s">
        <v>1087</v>
      </c>
      <c r="O84" s="113">
        <f>O38*25</f>
        <v>433375</v>
      </c>
      <c r="P84" s="115"/>
      <c r="Q84" s="35">
        <v>2010885</v>
      </c>
      <c r="R84" s="5" t="s">
        <v>4393</v>
      </c>
      <c r="S84" s="5">
        <f>S83-2</f>
        <v>119</v>
      </c>
      <c r="T84" s="5" t="s">
        <v>4399</v>
      </c>
      <c r="U84" s="168">
        <v>202.1</v>
      </c>
      <c r="V84" s="99">
        <f t="shared" si="21"/>
        <v>222.81275835616441</v>
      </c>
      <c r="W84" s="32">
        <f t="shared" si="22"/>
        <v>227.2690135232877</v>
      </c>
      <c r="X84" s="32">
        <f t="shared" si="23"/>
        <v>231.72526869041099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119</v>
      </c>
      <c r="AM84" s="117">
        <f t="shared" si="11"/>
        <v>232163883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96" t="s">
        <v>4881</v>
      </c>
      <c r="N85" s="99" t="s">
        <v>751</v>
      </c>
      <c r="O85" s="113">
        <f>O21*25</f>
        <v>2060725</v>
      </c>
      <c r="Q85" s="35">
        <v>1994038</v>
      </c>
      <c r="R85" s="5" t="s">
        <v>4404</v>
      </c>
      <c r="S85" s="5">
        <f>S84-3</f>
        <v>116</v>
      </c>
      <c r="T85" s="5" t="s">
        <v>4420</v>
      </c>
      <c r="U85" s="168">
        <v>5560.3</v>
      </c>
      <c r="V85" s="99">
        <f t="shared" si="21"/>
        <v>6117.3658915068499</v>
      </c>
      <c r="W85" s="32">
        <f t="shared" si="22"/>
        <v>6239.7132093369873</v>
      </c>
      <c r="X85" s="32">
        <f t="shared" si="23"/>
        <v>6362.0605271671238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115</v>
      </c>
      <c r="AM85" s="117">
        <f t="shared" si="11"/>
        <v>69000000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s="122" t="s">
        <v>4411</v>
      </c>
      <c r="O86" s="114"/>
      <c r="Q86" s="35">
        <v>444</v>
      </c>
      <c r="R86" s="5" t="s">
        <v>4404</v>
      </c>
      <c r="S86" s="5">
        <f>S85</f>
        <v>116</v>
      </c>
      <c r="T86" s="5" t="s">
        <v>4620</v>
      </c>
      <c r="U86" s="168">
        <v>441.8</v>
      </c>
      <c r="V86" s="99">
        <f t="shared" si="21"/>
        <v>486.06230794520559</v>
      </c>
      <c r="W86" s="32">
        <f t="shared" si="22"/>
        <v>495.78355410410973</v>
      </c>
      <c r="X86" s="32">
        <f t="shared" si="23"/>
        <v>505.50480026301381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110</v>
      </c>
      <c r="AM86" s="117">
        <f t="shared" si="11"/>
        <v>825000000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22" t="s">
        <v>4510</v>
      </c>
      <c r="N87" s="96"/>
      <c r="Q87" s="35">
        <v>1971103</v>
      </c>
      <c r="R87" s="5" t="s">
        <v>4415</v>
      </c>
      <c r="S87" s="5">
        <f>S86-1</f>
        <v>115</v>
      </c>
      <c r="T87" s="5" t="s">
        <v>4416</v>
      </c>
      <c r="U87" s="168">
        <v>196.2</v>
      </c>
      <c r="V87" s="99">
        <f t="shared" si="21"/>
        <v>215.70604273972603</v>
      </c>
      <c r="W87" s="32">
        <f t="shared" si="22"/>
        <v>220.02016359452057</v>
      </c>
      <c r="X87" s="32">
        <f t="shared" si="23"/>
        <v>224.33428444931508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108</v>
      </c>
      <c r="AM87" s="117">
        <f t="shared" si="11"/>
        <v>-63484128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122" t="s">
        <v>4584</v>
      </c>
      <c r="N88" s="96"/>
      <c r="P88" t="s">
        <v>25</v>
      </c>
      <c r="Q88" s="35">
        <v>1049856</v>
      </c>
      <c r="R88" s="5" t="s">
        <v>4438</v>
      </c>
      <c r="S88" s="5">
        <f>S87-6</f>
        <v>109</v>
      </c>
      <c r="T88" s="5" t="s">
        <v>4477</v>
      </c>
      <c r="U88" s="168">
        <v>184.5</v>
      </c>
      <c r="V88" s="99">
        <f t="shared" si="21"/>
        <v>201.99363287671235</v>
      </c>
      <c r="W88" s="32">
        <f t="shared" si="22"/>
        <v>206.03350553424661</v>
      </c>
      <c r="X88" s="32">
        <f t="shared" si="23"/>
        <v>210.07337819178085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105</v>
      </c>
      <c r="AM88" s="117">
        <f t="shared" si="11"/>
        <v>-95286345</v>
      </c>
      <c r="AN88" s="20"/>
      <c r="AP88" t="s">
        <v>25</v>
      </c>
      <c r="AV88" t="s">
        <v>25</v>
      </c>
    </row>
    <row r="89" spans="4:52" ht="45">
      <c r="D89" s="32" t="s">
        <v>317</v>
      </c>
      <c r="E89" s="1">
        <v>50000</v>
      </c>
      <c r="G89" s="47">
        <v>75000</v>
      </c>
      <c r="H89" s="48" t="s">
        <v>787</v>
      </c>
      <c r="K89" s="216" t="s">
        <v>4800</v>
      </c>
      <c r="L89" s="22" t="s">
        <v>4766</v>
      </c>
      <c r="M89" s="210" t="s">
        <v>4740</v>
      </c>
      <c r="N89" s="96"/>
      <c r="P89" s="115"/>
      <c r="Q89" s="35">
        <v>1783234</v>
      </c>
      <c r="R89" s="5" t="s">
        <v>4440</v>
      </c>
      <c r="S89" s="5">
        <f>S88-2</f>
        <v>107</v>
      </c>
      <c r="T89" s="5" t="s">
        <v>4441</v>
      </c>
      <c r="U89" s="168">
        <v>177.5</v>
      </c>
      <c r="V89" s="99">
        <f t="shared" si="21"/>
        <v>194.05758904109589</v>
      </c>
      <c r="W89" s="32">
        <f t="shared" si="22"/>
        <v>197.9387408219178</v>
      </c>
      <c r="X89" s="32">
        <f t="shared" si="23"/>
        <v>201.81989260273974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105</v>
      </c>
      <c r="AM89" s="117">
        <f t="shared" si="11"/>
        <v>257250000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4801</v>
      </c>
      <c r="M90" s="122"/>
      <c r="N90" s="96"/>
      <c r="P90" s="115" t="s">
        <v>25</v>
      </c>
      <c r="Q90" s="35">
        <v>1662335</v>
      </c>
      <c r="R90" s="5" t="s">
        <v>4444</v>
      </c>
      <c r="S90" s="5">
        <f>S89-5</f>
        <v>102</v>
      </c>
      <c r="T90" s="222" t="s">
        <v>4601</v>
      </c>
      <c r="U90" s="168">
        <v>190.3</v>
      </c>
      <c r="V90" s="99">
        <f t="shared" si="21"/>
        <v>207.32168328767125</v>
      </c>
      <c r="W90" s="32">
        <f t="shared" si="22"/>
        <v>211.46811695342467</v>
      </c>
      <c r="X90" s="32">
        <f t="shared" si="23"/>
        <v>215.61455061917812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104</v>
      </c>
      <c r="AM90" s="117">
        <f t="shared" si="11"/>
        <v>156000000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4587</v>
      </c>
      <c r="L91" s="96"/>
      <c r="M91" s="122"/>
      <c r="O91" t="s">
        <v>25</v>
      </c>
      <c r="P91" s="115"/>
      <c r="Q91" s="169">
        <v>499973</v>
      </c>
      <c r="R91" s="168" t="s">
        <v>4591</v>
      </c>
      <c r="S91" s="168">
        <f>S90-37</f>
        <v>65</v>
      </c>
      <c r="T91" s="73" t="s">
        <v>4592</v>
      </c>
      <c r="U91" s="168">
        <v>413</v>
      </c>
      <c r="V91" s="99">
        <f t="shared" si="21"/>
        <v>438.21902465753431</v>
      </c>
      <c r="W91" s="32">
        <f t="shared" si="22"/>
        <v>446.98340515068497</v>
      </c>
      <c r="X91" s="32">
        <f t="shared" si="23"/>
        <v>455.7477856438357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103</v>
      </c>
      <c r="AM91" s="117">
        <f t="shared" si="11"/>
        <v>272744000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4882</v>
      </c>
      <c r="M92" s="96">
        <f>O65+O21+O38-O72</f>
        <v>1289695</v>
      </c>
      <c r="N92" s="113">
        <f>M92*P65</f>
        <v>224664869</v>
      </c>
      <c r="P92" s="115"/>
      <c r="Q92" s="169">
        <v>11869317</v>
      </c>
      <c r="R92" s="168" t="s">
        <v>4602</v>
      </c>
      <c r="S92" s="168">
        <f>S91-2</f>
        <v>63</v>
      </c>
      <c r="T92" s="168" t="s">
        <v>4603</v>
      </c>
      <c r="U92" s="168">
        <v>395600</v>
      </c>
      <c r="V92" s="99">
        <f t="shared" si="21"/>
        <v>419149.58027397265</v>
      </c>
      <c r="W92" s="32">
        <f t="shared" si="22"/>
        <v>427532.57187945209</v>
      </c>
      <c r="X92" s="32">
        <f t="shared" si="23"/>
        <v>435915.5634849316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102</v>
      </c>
      <c r="AM92" s="117">
        <f t="shared" si="11"/>
        <v>62730000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4883</v>
      </c>
      <c r="M93" t="s">
        <v>4267</v>
      </c>
      <c r="P93" s="115"/>
      <c r="Q93" s="35">
        <v>2272487</v>
      </c>
      <c r="R93" s="5" t="s">
        <v>4612</v>
      </c>
      <c r="S93" s="5">
        <f>S92-3</f>
        <v>60</v>
      </c>
      <c r="T93" s="5" t="s">
        <v>4613</v>
      </c>
      <c r="U93" s="168">
        <v>174.9</v>
      </c>
      <c r="V93" s="99">
        <f t="shared" si="21"/>
        <v>184.90907178082196</v>
      </c>
      <c r="W93" s="32">
        <f t="shared" si="22"/>
        <v>188.60725321643841</v>
      </c>
      <c r="X93" s="32">
        <f t="shared" si="23"/>
        <v>192.30543465205486</v>
      </c>
      <c r="Y93">
        <v>13000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98</v>
      </c>
      <c r="AM93" s="117">
        <f t="shared" si="11"/>
        <v>1372000000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4884</v>
      </c>
      <c r="M94" t="s">
        <v>4589</v>
      </c>
      <c r="N94" t="s">
        <v>25</v>
      </c>
      <c r="P94" s="115"/>
      <c r="Q94" s="35">
        <v>3975257</v>
      </c>
      <c r="R94" s="5" t="s">
        <v>4618</v>
      </c>
      <c r="S94" s="5">
        <f>S93-1</f>
        <v>59</v>
      </c>
      <c r="T94" s="5" t="s">
        <v>4619</v>
      </c>
      <c r="U94" s="168">
        <v>173</v>
      </c>
      <c r="V94" s="99">
        <f t="shared" si="21"/>
        <v>182.76762739726027</v>
      </c>
      <c r="W94" s="32">
        <f t="shared" si="22"/>
        <v>186.42297994520547</v>
      </c>
      <c r="X94" s="32">
        <f t="shared" si="23"/>
        <v>190.0783324931507</v>
      </c>
      <c r="Y94" t="s">
        <v>25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96</v>
      </c>
      <c r="AM94" s="117">
        <f t="shared" si="11"/>
        <v>126048000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4544</v>
      </c>
      <c r="P95" s="115"/>
      <c r="Q95" s="35">
        <v>1031662</v>
      </c>
      <c r="R95" s="5" t="s">
        <v>4234</v>
      </c>
      <c r="S95" s="5">
        <f>S94-1</f>
        <v>58</v>
      </c>
      <c r="T95" s="5" t="s">
        <v>4622</v>
      </c>
      <c r="U95" s="168">
        <v>171.2</v>
      </c>
      <c r="V95" s="99">
        <f t="shared" si="21"/>
        <v>180.7346673972603</v>
      </c>
      <c r="W95" s="32">
        <f t="shared" si="22"/>
        <v>184.3493607452055</v>
      </c>
      <c r="X95" s="32">
        <f t="shared" si="23"/>
        <v>187.96405409315071</v>
      </c>
      <c r="Y95" t="s">
        <v>25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4">AL96+AK95</f>
        <v>96</v>
      </c>
      <c r="AM95" s="117">
        <f t="shared" si="11"/>
        <v>217824000</v>
      </c>
      <c r="AN95" s="99"/>
    </row>
    <row r="96" spans="4:52">
      <c r="D96" s="32" t="s">
        <v>314</v>
      </c>
      <c r="E96" s="1">
        <v>140000</v>
      </c>
      <c r="K96" t="s">
        <v>4593</v>
      </c>
      <c r="M96" t="s">
        <v>949</v>
      </c>
      <c r="N96">
        <v>6.3E-3</v>
      </c>
      <c r="P96" s="115"/>
      <c r="Q96" s="169">
        <v>2666019</v>
      </c>
      <c r="R96" s="168" t="s">
        <v>4234</v>
      </c>
      <c r="S96" s="168">
        <f>S95</f>
        <v>58</v>
      </c>
      <c r="T96" s="168" t="s">
        <v>4624</v>
      </c>
      <c r="U96" s="168">
        <v>749</v>
      </c>
      <c r="V96" s="99">
        <f t="shared" si="21"/>
        <v>790.71416986301381</v>
      </c>
      <c r="W96" s="32">
        <f t="shared" si="22"/>
        <v>806.52845326027409</v>
      </c>
      <c r="X96" s="32">
        <f t="shared" si="23"/>
        <v>822.34273665753437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95</v>
      </c>
      <c r="AM96" s="117">
        <f t="shared" si="11"/>
        <v>71250000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4543</v>
      </c>
      <c r="M97" t="s">
        <v>61</v>
      </c>
      <c r="N97">
        <v>4.8999999999999998E-3</v>
      </c>
      <c r="P97" s="115"/>
      <c r="Q97" s="35">
        <v>577500</v>
      </c>
      <c r="R97" s="5" t="s">
        <v>4234</v>
      </c>
      <c r="S97" s="5">
        <f>S96</f>
        <v>58</v>
      </c>
      <c r="T97" s="5" t="s">
        <v>4627</v>
      </c>
      <c r="U97" s="168">
        <v>175</v>
      </c>
      <c r="V97" s="99">
        <f t="shared" si="21"/>
        <v>184.74630136986303</v>
      </c>
      <c r="W97" s="32">
        <f t="shared" si="22"/>
        <v>188.44122739726029</v>
      </c>
      <c r="X97" s="32">
        <f t="shared" si="23"/>
        <v>192.13615342465755</v>
      </c>
      <c r="Y97">
        <v>23000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4"/>
        <v>91</v>
      </c>
      <c r="AM97" s="117">
        <f t="shared" si="11"/>
        <v>172900000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22" t="s">
        <v>4243</v>
      </c>
      <c r="M98" t="s">
        <v>6</v>
      </c>
      <c r="N98">
        <f>N96+N97</f>
        <v>1.12E-2</v>
      </c>
      <c r="O98" t="s">
        <v>25</v>
      </c>
      <c r="P98" t="s">
        <v>25</v>
      </c>
      <c r="Q98" s="35">
        <v>12636487</v>
      </c>
      <c r="R98" s="5" t="s">
        <v>3691</v>
      </c>
      <c r="S98" s="5">
        <f>S97-2</f>
        <v>56</v>
      </c>
      <c r="T98" s="5" t="s">
        <v>4630</v>
      </c>
      <c r="U98" s="168">
        <v>172.1</v>
      </c>
      <c r="V98" s="99">
        <f t="shared" si="21"/>
        <v>181.42074739726027</v>
      </c>
      <c r="W98" s="32">
        <f t="shared" si="22"/>
        <v>185.04916234520547</v>
      </c>
      <c r="X98" s="32">
        <f t="shared" si="23"/>
        <v>188.67757729315068</v>
      </c>
      <c r="Y98">
        <v>6000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4"/>
        <v>88</v>
      </c>
      <c r="AM98" s="117">
        <f t="shared" si="11"/>
        <v>563200000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4540</v>
      </c>
      <c r="Q99" s="169">
        <v>1210169</v>
      </c>
      <c r="R99" s="168" t="s">
        <v>4633</v>
      </c>
      <c r="S99" s="168">
        <f>S98-3</f>
        <v>53</v>
      </c>
      <c r="T99" s="168" t="s">
        <v>4634</v>
      </c>
      <c r="U99" s="168">
        <v>1204.7</v>
      </c>
      <c r="V99" s="99">
        <f t="shared" si="21"/>
        <v>1267.1727715068496</v>
      </c>
      <c r="W99" s="32">
        <f t="shared" si="22"/>
        <v>1292.5162269369866</v>
      </c>
      <c r="X99" s="32">
        <f t="shared" si="23"/>
        <v>1317.8596823671237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4"/>
        <v>87</v>
      </c>
      <c r="AM99" s="117">
        <f t="shared" si="11"/>
        <v>435000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Q100" s="39">
        <v>11121445</v>
      </c>
      <c r="R100" s="5" t="s">
        <v>4633</v>
      </c>
      <c r="S100" s="5">
        <f>S99</f>
        <v>53</v>
      </c>
      <c r="T100" s="5" t="s">
        <v>4874</v>
      </c>
      <c r="U100" s="168">
        <v>171.8</v>
      </c>
      <c r="V100" s="99">
        <f t="shared" si="21"/>
        <v>180.70912438356169</v>
      </c>
      <c r="W100" s="32">
        <f t="shared" si="22"/>
        <v>184.32330687123292</v>
      </c>
      <c r="X100" s="32">
        <f t="shared" si="23"/>
        <v>187.93748935890417</v>
      </c>
      <c r="Y100">
        <v>3300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4"/>
        <v>82</v>
      </c>
      <c r="AM100" s="117">
        <f t="shared" si="11"/>
        <v>-143512136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t="s">
        <v>25</v>
      </c>
      <c r="Q101" s="35">
        <v>8978273</v>
      </c>
      <c r="R101" s="5" t="s">
        <v>4638</v>
      </c>
      <c r="S101" s="5">
        <f>S100-1</f>
        <v>52</v>
      </c>
      <c r="T101" s="5" t="s">
        <v>4639</v>
      </c>
      <c r="U101" s="168">
        <v>3405.9</v>
      </c>
      <c r="V101" s="99">
        <f t="shared" si="21"/>
        <v>3579.9088306849317</v>
      </c>
      <c r="W101" s="32">
        <f t="shared" ref="W101:W148" si="25">V101*(1+$W$19/100)</f>
        <v>3651.5070072986305</v>
      </c>
      <c r="X101" s="32">
        <f t="shared" ref="X101:X148" si="26">V101*(1+$X$19/100)</f>
        <v>3723.1051839123293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4"/>
        <v>81</v>
      </c>
      <c r="AM101" s="117">
        <f t="shared" si="11"/>
        <v>32400000</v>
      </c>
      <c r="AN101" s="99"/>
    </row>
    <row r="102" spans="4:47">
      <c r="F102" s="96"/>
      <c r="G102" s="96"/>
      <c r="H102" s="96"/>
      <c r="I102" s="99"/>
      <c r="J102" s="99"/>
      <c r="K102" s="99" t="s">
        <v>4908</v>
      </c>
      <c r="M102" s="194" t="s">
        <v>4539</v>
      </c>
      <c r="Q102" s="169">
        <v>1013762</v>
      </c>
      <c r="R102" s="168" t="s">
        <v>4638</v>
      </c>
      <c r="S102" s="168">
        <f>S101</f>
        <v>52</v>
      </c>
      <c r="T102" s="168" t="s">
        <v>4641</v>
      </c>
      <c r="U102" s="168">
        <v>217.1</v>
      </c>
      <c r="V102" s="99">
        <f t="shared" si="21"/>
        <v>228.19172821917806</v>
      </c>
      <c r="W102" s="32">
        <f t="shared" si="25"/>
        <v>232.75556278356163</v>
      </c>
      <c r="X102" s="32">
        <f t="shared" si="26"/>
        <v>237.3193973479452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4"/>
        <v>81</v>
      </c>
      <c r="AM102" s="117">
        <f t="shared" si="11"/>
        <v>-170539101</v>
      </c>
      <c r="AN102" s="99"/>
      <c r="AO102" t="s">
        <v>25</v>
      </c>
    </row>
    <row r="103" spans="4:47">
      <c r="I103" s="99"/>
      <c r="J103" s="99">
        <v>16</v>
      </c>
      <c r="K103" s="99" t="s">
        <v>4933</v>
      </c>
      <c r="M103" t="s">
        <v>4540</v>
      </c>
      <c r="Q103" s="169">
        <v>12953846</v>
      </c>
      <c r="R103" s="168" t="s">
        <v>4638</v>
      </c>
      <c r="S103" s="168">
        <f>S102</f>
        <v>52</v>
      </c>
      <c r="T103" s="168" t="s">
        <v>4761</v>
      </c>
      <c r="U103" s="168">
        <v>4500.5</v>
      </c>
      <c r="V103" s="99">
        <f t="shared" si="21"/>
        <v>4730.4323945205479</v>
      </c>
      <c r="W103" s="32">
        <f t="shared" si="25"/>
        <v>4825.0410424109587</v>
      </c>
      <c r="X103" s="32">
        <f t="shared" si="26"/>
        <v>4919.6496903013704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4"/>
        <v>80</v>
      </c>
      <c r="AM103" s="117">
        <f t="shared" si="11"/>
        <v>-442209440</v>
      </c>
      <c r="AN103" s="99"/>
    </row>
    <row r="104" spans="4:47">
      <c r="F104" s="96"/>
      <c r="G104" s="96"/>
      <c r="H104" s="96" t="s">
        <v>25</v>
      </c>
      <c r="I104" s="99">
        <v>1</v>
      </c>
      <c r="J104" s="99">
        <v>3</v>
      </c>
      <c r="K104" s="99" t="s">
        <v>4932</v>
      </c>
      <c r="M104" t="s">
        <v>4543</v>
      </c>
      <c r="Q104" s="35">
        <v>4068640</v>
      </c>
      <c r="R104" s="5" t="s">
        <v>4645</v>
      </c>
      <c r="S104" s="5">
        <f>S103-1</f>
        <v>51</v>
      </c>
      <c r="T104" s="5" t="s">
        <v>4646</v>
      </c>
      <c r="U104" s="168">
        <v>3322.3</v>
      </c>
      <c r="V104" s="99">
        <f t="shared" si="21"/>
        <v>3489.4890586301376</v>
      </c>
      <c r="W104" s="32">
        <f t="shared" si="25"/>
        <v>3559.2788398027405</v>
      </c>
      <c r="X104" s="32">
        <f t="shared" si="26"/>
        <v>3629.068620975343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4"/>
        <v>80</v>
      </c>
      <c r="AM104" s="117">
        <f t="shared" si="11"/>
        <v>312000000</v>
      </c>
      <c r="AN104" s="99"/>
    </row>
    <row r="105" spans="4:47">
      <c r="F105" s="96"/>
      <c r="G105" s="96"/>
      <c r="H105" s="96"/>
      <c r="I105" s="99"/>
      <c r="J105" s="99">
        <v>3</v>
      </c>
      <c r="K105" s="99" t="s">
        <v>4929</v>
      </c>
      <c r="M105" t="s">
        <v>4544</v>
      </c>
      <c r="Q105" s="35">
        <v>12656982</v>
      </c>
      <c r="R105" s="5" t="s">
        <v>4645</v>
      </c>
      <c r="S105" s="5">
        <f>S104</f>
        <v>51</v>
      </c>
      <c r="T105" s="5" t="s">
        <v>4647</v>
      </c>
      <c r="U105" s="168">
        <v>5249.9</v>
      </c>
      <c r="V105" s="99">
        <f t="shared" si="21"/>
        <v>5514.0922279452052</v>
      </c>
      <c r="W105" s="32">
        <f t="shared" si="25"/>
        <v>5624.3740725041098</v>
      </c>
      <c r="X105" s="32">
        <f t="shared" si="26"/>
        <v>5734.6559170630135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4"/>
        <v>77</v>
      </c>
      <c r="AM105" s="117">
        <f t="shared" si="11"/>
        <v>-305671058</v>
      </c>
      <c r="AN105" s="99"/>
    </row>
    <row r="106" spans="4:47">
      <c r="F106" s="96"/>
      <c r="G106" s="96"/>
      <c r="H106" s="96"/>
      <c r="I106" s="99"/>
      <c r="J106" s="99">
        <v>1</v>
      </c>
      <c r="K106" s="99" t="s">
        <v>4930</v>
      </c>
      <c r="Q106" s="169">
        <v>100905</v>
      </c>
      <c r="R106" s="168" t="s">
        <v>4648</v>
      </c>
      <c r="S106" s="168">
        <f>S105-1</f>
        <v>50</v>
      </c>
      <c r="T106" s="168" t="s">
        <v>4654</v>
      </c>
      <c r="U106" s="168">
        <v>372</v>
      </c>
      <c r="V106" s="99">
        <f t="shared" si="21"/>
        <v>390.43489315068501</v>
      </c>
      <c r="W106" s="32">
        <f t="shared" si="25"/>
        <v>398.24359101369873</v>
      </c>
      <c r="X106" s="32">
        <f t="shared" si="26"/>
        <v>406.05228887671245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4"/>
        <v>76</v>
      </c>
      <c r="AM106" s="117">
        <f t="shared" si="11"/>
        <v>-1943658580</v>
      </c>
      <c r="AN106" s="99"/>
      <c r="AP106" t="s">
        <v>25</v>
      </c>
    </row>
    <row r="107" spans="4:47">
      <c r="F107" s="96"/>
      <c r="G107" s="96"/>
      <c r="H107" s="96"/>
      <c r="I107" s="99"/>
      <c r="J107" s="99">
        <v>1</v>
      </c>
      <c r="K107" s="99" t="s">
        <v>4931</v>
      </c>
      <c r="Q107" s="35">
        <v>48637534</v>
      </c>
      <c r="R107" s="5" t="s">
        <v>4648</v>
      </c>
      <c r="S107" s="5">
        <f>S106</f>
        <v>50</v>
      </c>
      <c r="T107" s="5" t="s">
        <v>4652</v>
      </c>
      <c r="U107" s="168">
        <v>5330</v>
      </c>
      <c r="V107" s="99">
        <f t="shared" si="21"/>
        <v>5594.1343561643844</v>
      </c>
      <c r="W107" s="32">
        <f t="shared" si="25"/>
        <v>5706.0170432876721</v>
      </c>
      <c r="X107" s="32">
        <f t="shared" si="26"/>
        <v>5817.8997304109598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4"/>
        <v>76</v>
      </c>
      <c r="AM107" s="117">
        <f t="shared" si="11"/>
        <v>304000000</v>
      </c>
      <c r="AN107" s="99"/>
    </row>
    <row r="108" spans="4:47">
      <c r="F108" s="96"/>
      <c r="G108" s="96"/>
      <c r="H108" s="96"/>
      <c r="I108" s="99"/>
      <c r="J108" s="99">
        <v>1</v>
      </c>
      <c r="K108" s="99" t="s">
        <v>4934</v>
      </c>
      <c r="Q108" s="35">
        <v>40048573</v>
      </c>
      <c r="R108" s="5" t="s">
        <v>4648</v>
      </c>
      <c r="S108" s="5">
        <f>S107</f>
        <v>50</v>
      </c>
      <c r="T108" s="5" t="s">
        <v>4653</v>
      </c>
      <c r="U108" s="168">
        <v>498.9</v>
      </c>
      <c r="V108" s="99">
        <f t="shared" si="21"/>
        <v>523.62357041095891</v>
      </c>
      <c r="W108" s="32">
        <f t="shared" si="25"/>
        <v>534.09604181917814</v>
      </c>
      <c r="X108" s="32">
        <f t="shared" si="26"/>
        <v>544.56851322739726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75</v>
      </c>
      <c r="AM108" s="117">
        <f t="shared" si="11"/>
        <v>-375000000</v>
      </c>
      <c r="AN108" s="99"/>
    </row>
    <row r="109" spans="4:47">
      <c r="F109" s="96"/>
      <c r="G109" s="96"/>
      <c r="H109" s="96"/>
      <c r="I109" s="99">
        <v>1</v>
      </c>
      <c r="J109" s="99">
        <v>3</v>
      </c>
      <c r="K109" s="99" t="s">
        <v>4927</v>
      </c>
      <c r="Q109" s="169">
        <v>1000495</v>
      </c>
      <c r="R109" s="168" t="s">
        <v>4664</v>
      </c>
      <c r="S109" s="168">
        <f>S108-1</f>
        <v>49</v>
      </c>
      <c r="T109" s="168" t="s">
        <v>4731</v>
      </c>
      <c r="U109" s="168">
        <v>724.8</v>
      </c>
      <c r="V109" s="99">
        <f t="shared" si="21"/>
        <v>760.16229698630139</v>
      </c>
      <c r="W109" s="32">
        <f t="shared" si="25"/>
        <v>775.36554292602739</v>
      </c>
      <c r="X109" s="32">
        <f t="shared" si="26"/>
        <v>790.5687888657535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4"/>
        <v>73</v>
      </c>
      <c r="AM109" s="117">
        <f t="shared" si="11"/>
        <v>730000000</v>
      </c>
      <c r="AN109" s="99"/>
    </row>
    <row r="110" spans="4:47">
      <c r="F110" s="96"/>
      <c r="G110" s="96"/>
      <c r="H110" s="96"/>
      <c r="I110" s="99"/>
      <c r="J110" s="99">
        <v>4</v>
      </c>
      <c r="K110" s="99" t="s">
        <v>4928</v>
      </c>
      <c r="P110" s="115"/>
      <c r="Q110" s="35">
        <v>37856769</v>
      </c>
      <c r="R110" s="5" t="s">
        <v>4664</v>
      </c>
      <c r="S110" s="5">
        <f>S109</f>
        <v>49</v>
      </c>
      <c r="T110" s="5" t="s">
        <v>4666</v>
      </c>
      <c r="U110" s="168">
        <v>5393.6</v>
      </c>
      <c r="V110" s="99">
        <f t="shared" ref="V110:V141" si="27">U110*(1+$N$98+$Q$15*S110/36500)</f>
        <v>5656.7485720547947</v>
      </c>
      <c r="W110" s="32">
        <f t="shared" si="25"/>
        <v>5769.883543495891</v>
      </c>
      <c r="X110" s="32">
        <f t="shared" si="26"/>
        <v>5883.0185149369863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4"/>
        <v>69</v>
      </c>
      <c r="AM110" s="117">
        <f t="shared" si="11"/>
        <v>-361693653</v>
      </c>
      <c r="AN110" s="99"/>
    </row>
    <row r="111" spans="4:47">
      <c r="F111" s="96"/>
      <c r="G111" s="96"/>
      <c r="H111" s="96"/>
      <c r="I111" s="96"/>
      <c r="J111" s="96"/>
      <c r="L111" s="96"/>
      <c r="M111" s="96"/>
      <c r="N111" s="96"/>
      <c r="P111" s="128"/>
      <c r="Q111" s="35">
        <v>155151</v>
      </c>
      <c r="R111" s="5" t="s">
        <v>4675</v>
      </c>
      <c r="S111" s="5">
        <f>S110-3</f>
        <v>46</v>
      </c>
      <c r="T111" s="5" t="s">
        <v>4677</v>
      </c>
      <c r="U111" s="168">
        <v>5325.9</v>
      </c>
      <c r="V111" s="99">
        <f t="shared" si="27"/>
        <v>5573.4886882191777</v>
      </c>
      <c r="W111" s="32">
        <f t="shared" si="25"/>
        <v>5684.9584619835614</v>
      </c>
      <c r="X111" s="32">
        <f t="shared" si="26"/>
        <v>5796.4282357479451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4"/>
        <v>69</v>
      </c>
      <c r="AM111" s="117">
        <f t="shared" si="11"/>
        <v>1511100000</v>
      </c>
      <c r="AN111" s="99"/>
      <c r="AP111" t="s">
        <v>25</v>
      </c>
      <c r="AU111"/>
    </row>
    <row r="112" spans="4:47">
      <c r="P112" s="128"/>
      <c r="Q112" s="169">
        <v>109726</v>
      </c>
      <c r="R112" s="168" t="s">
        <v>4675</v>
      </c>
      <c r="S112" s="168">
        <f>S111</f>
        <v>46</v>
      </c>
      <c r="T112" s="168" t="s">
        <v>4678</v>
      </c>
      <c r="U112" s="168">
        <v>3900.7</v>
      </c>
      <c r="V112" s="99">
        <f t="shared" si="27"/>
        <v>4082.0344591780822</v>
      </c>
      <c r="W112" s="32">
        <f t="shared" si="25"/>
        <v>4163.6751483616436</v>
      </c>
      <c r="X112" s="32">
        <f t="shared" si="26"/>
        <v>4245.3158375452058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4"/>
        <v>67</v>
      </c>
      <c r="AM112" s="117">
        <f t="shared" si="11"/>
        <v>-1005000000</v>
      </c>
      <c r="AN112" s="99"/>
      <c r="AO112" t="s">
        <v>25</v>
      </c>
    </row>
    <row r="113" spans="6:46">
      <c r="P113" s="115"/>
      <c r="Q113" s="35">
        <v>8938737</v>
      </c>
      <c r="R113" s="5" t="s">
        <v>4681</v>
      </c>
      <c r="S113" s="5">
        <f>S112-1</f>
        <v>45</v>
      </c>
      <c r="T113" s="5" t="s">
        <v>4683</v>
      </c>
      <c r="U113" s="168">
        <v>5179.5</v>
      </c>
      <c r="V113" s="99">
        <f t="shared" si="27"/>
        <v>5416.3095780821923</v>
      </c>
      <c r="W113" s="32">
        <f t="shared" si="25"/>
        <v>5524.6357696438363</v>
      </c>
      <c r="X113" s="32">
        <f t="shared" si="26"/>
        <v>5632.9619612054803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4"/>
        <v>67</v>
      </c>
      <c r="AM113" s="117">
        <f t="shared" si="11"/>
        <v>201000000</v>
      </c>
      <c r="AN113" s="99"/>
      <c r="AR113" s="96"/>
      <c r="AS113" s="96"/>
      <c r="AT113"/>
    </row>
    <row r="114" spans="6:46">
      <c r="F114" s="217" t="s">
        <v>4730</v>
      </c>
      <c r="G114" s="217" t="s">
        <v>941</v>
      </c>
      <c r="H114" s="217" t="s">
        <v>4709</v>
      </c>
      <c r="I114" s="217" t="s">
        <v>4708</v>
      </c>
      <c r="J114" s="32" t="s">
        <v>4545</v>
      </c>
      <c r="K114" s="217" t="s">
        <v>4697</v>
      </c>
      <c r="L114" s="32" t="s">
        <v>4699</v>
      </c>
      <c r="M114" s="32" t="s">
        <v>4667</v>
      </c>
      <c r="N114" s="217" t="s">
        <v>4668</v>
      </c>
      <c r="Q114" s="35">
        <v>2595417</v>
      </c>
      <c r="R114" s="5" t="s">
        <v>4691</v>
      </c>
      <c r="S114" s="5">
        <f>S113-1</f>
        <v>44</v>
      </c>
      <c r="T114" s="5" t="s">
        <v>4692</v>
      </c>
      <c r="U114" s="168">
        <v>4803</v>
      </c>
      <c r="V114" s="99">
        <f t="shared" si="27"/>
        <v>5018.911298630137</v>
      </c>
      <c r="W114" s="32">
        <f t="shared" si="25"/>
        <v>5119.2895246027401</v>
      </c>
      <c r="X114" s="32">
        <f t="shared" si="26"/>
        <v>5219.6677505753423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4"/>
        <v>66</v>
      </c>
      <c r="AM114" s="117">
        <f t="shared" si="11"/>
        <v>-138846576</v>
      </c>
      <c r="AN114" s="99"/>
    </row>
    <row r="115" spans="6:46">
      <c r="F115" s="200">
        <f t="shared" ref="F115:F120" si="28">$L$126/G115</f>
        <v>26980.482204362805</v>
      </c>
      <c r="G115" s="200">
        <f>P65</f>
        <v>174.2</v>
      </c>
      <c r="H115" s="200" t="s">
        <v>4861</v>
      </c>
      <c r="I115" s="200" t="s">
        <v>4860</v>
      </c>
      <c r="J115" s="218" t="s">
        <v>4243</v>
      </c>
      <c r="K115" s="200">
        <v>60</v>
      </c>
      <c r="L115" s="219">
        <f t="shared" ref="L115:L123" si="29">K115*$L$126</f>
        <v>282000000</v>
      </c>
      <c r="M115" s="219">
        <f>N21+N38+N65</f>
        <v>236259098.39999998</v>
      </c>
      <c r="N115" s="184">
        <f t="shared" ref="N115:N123" si="30">L115-M115</f>
        <v>45740901.600000024</v>
      </c>
      <c r="Q115" s="169">
        <v>2505816</v>
      </c>
      <c r="R115" s="168" t="s">
        <v>4691</v>
      </c>
      <c r="S115" s="168">
        <f>S114</f>
        <v>44</v>
      </c>
      <c r="T115" s="168" t="s">
        <v>4693</v>
      </c>
      <c r="U115" s="168">
        <v>3723</v>
      </c>
      <c r="V115" s="99">
        <f t="shared" si="27"/>
        <v>3890.3616000000002</v>
      </c>
      <c r="W115" s="32">
        <f t="shared" si="25"/>
        <v>3968.1688320000003</v>
      </c>
      <c r="X115" s="32">
        <f t="shared" si="26"/>
        <v>4045.9760640000004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4"/>
        <v>66</v>
      </c>
      <c r="AM115" s="117">
        <f t="shared" si="11"/>
        <v>14520000</v>
      </c>
      <c r="AN115" s="99"/>
    </row>
    <row r="116" spans="6:46">
      <c r="F116" s="217">
        <f t="shared" si="28"/>
        <v>831.71120155724645</v>
      </c>
      <c r="G116" s="217">
        <f>P57</f>
        <v>5651</v>
      </c>
      <c r="H116" s="217" t="s">
        <v>4713</v>
      </c>
      <c r="I116" s="217" t="s">
        <v>4712</v>
      </c>
      <c r="J116" s="32" t="s">
        <v>4395</v>
      </c>
      <c r="K116" s="217">
        <v>33</v>
      </c>
      <c r="L116" s="1">
        <f t="shared" si="29"/>
        <v>155100000</v>
      </c>
      <c r="M116" s="1">
        <f>N29+N57+N32</f>
        <v>173593069</v>
      </c>
      <c r="N116" s="113">
        <f t="shared" si="30"/>
        <v>-18493069</v>
      </c>
      <c r="Q116" s="169">
        <v>183283</v>
      </c>
      <c r="R116" s="214" t="s">
        <v>4695</v>
      </c>
      <c r="S116" s="214">
        <f>S115-1</f>
        <v>43</v>
      </c>
      <c r="T116" s="214" t="s">
        <v>4706</v>
      </c>
      <c r="U116" s="214">
        <v>347.5</v>
      </c>
      <c r="V116" s="99">
        <f t="shared" si="27"/>
        <v>362.85473972602745</v>
      </c>
      <c r="W116" s="32">
        <f t="shared" si="25"/>
        <v>370.11183452054803</v>
      </c>
      <c r="X116" s="32">
        <f t="shared" si="26"/>
        <v>377.36892931506856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4"/>
        <v>63</v>
      </c>
      <c r="AM116" s="117">
        <f t="shared" si="11"/>
        <v>252000000</v>
      </c>
      <c r="AN116" s="99"/>
    </row>
    <row r="117" spans="6:46">
      <c r="F117" s="200">
        <f t="shared" si="28"/>
        <v>1333.8252405142323</v>
      </c>
      <c r="G117" s="200">
        <f>P51</f>
        <v>3523.7</v>
      </c>
      <c r="H117" s="200" t="s">
        <v>3881</v>
      </c>
      <c r="I117" s="200" t="s">
        <v>4714</v>
      </c>
      <c r="J117" s="218" t="s">
        <v>4391</v>
      </c>
      <c r="K117" s="200">
        <v>31</v>
      </c>
      <c r="L117" s="219">
        <f t="shared" si="29"/>
        <v>145700000</v>
      </c>
      <c r="M117" s="219">
        <f>N51+N34+N23</f>
        <v>164912683.69999999</v>
      </c>
      <c r="N117" s="184">
        <f t="shared" si="30"/>
        <v>-19212683.699999988</v>
      </c>
      <c r="Q117" s="169">
        <v>177438</v>
      </c>
      <c r="R117" s="214" t="s">
        <v>4695</v>
      </c>
      <c r="S117" s="214">
        <f t="shared" ref="S117:S120" si="31">S116</f>
        <v>43</v>
      </c>
      <c r="T117" s="214" t="s">
        <v>4702</v>
      </c>
      <c r="U117" s="214">
        <v>207.3</v>
      </c>
      <c r="V117" s="99">
        <f t="shared" si="27"/>
        <v>216.45982027397264</v>
      </c>
      <c r="W117" s="32">
        <f t="shared" si="25"/>
        <v>220.78901667945209</v>
      </c>
      <c r="X117" s="32">
        <f t="shared" si="26"/>
        <v>225.11821308493154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4"/>
        <v>62</v>
      </c>
      <c r="AM117" s="117">
        <f t="shared" si="11"/>
        <v>-558000000</v>
      </c>
      <c r="AN117" s="99"/>
      <c r="AP117" t="s">
        <v>25</v>
      </c>
      <c r="AQ117" t="s">
        <v>25</v>
      </c>
    </row>
    <row r="118" spans="6:46">
      <c r="F118" s="217">
        <f t="shared" si="28"/>
        <v>7904.4735956945842</v>
      </c>
      <c r="G118" s="217">
        <f>P58</f>
        <v>594.6</v>
      </c>
      <c r="H118" s="217" t="s">
        <v>4711</v>
      </c>
      <c r="I118" s="217" t="s">
        <v>4710</v>
      </c>
      <c r="J118" s="32" t="s">
        <v>4410</v>
      </c>
      <c r="K118" s="217">
        <v>30</v>
      </c>
      <c r="L118" s="1">
        <f t="shared" si="29"/>
        <v>141000000</v>
      </c>
      <c r="M118" s="1">
        <f>N58+N26+N36</f>
        <v>149675685</v>
      </c>
      <c r="N118" s="113">
        <f t="shared" si="30"/>
        <v>-8675685</v>
      </c>
      <c r="Q118" s="35">
        <v>559461</v>
      </c>
      <c r="R118" s="5" t="s">
        <v>4695</v>
      </c>
      <c r="S118" s="5">
        <f t="shared" si="31"/>
        <v>43</v>
      </c>
      <c r="T118" s="5" t="s">
        <v>4703</v>
      </c>
      <c r="U118" s="214">
        <v>508.1</v>
      </c>
      <c r="V118" s="99">
        <f t="shared" si="27"/>
        <v>530.55105972602746</v>
      </c>
      <c r="W118" s="32">
        <f t="shared" si="25"/>
        <v>541.16208092054796</v>
      </c>
      <c r="X118" s="32">
        <f t="shared" si="26"/>
        <v>551.77310211506858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4"/>
        <v>62</v>
      </c>
      <c r="AM118" s="117">
        <f t="shared" si="11"/>
        <v>861800000</v>
      </c>
      <c r="AN118" s="99"/>
    </row>
    <row r="119" spans="6:46">
      <c r="F119" s="200">
        <f t="shared" si="28"/>
        <v>877.61885199985068</v>
      </c>
      <c r="G119" s="200">
        <f>P60</f>
        <v>5355.4</v>
      </c>
      <c r="H119" s="200" t="s">
        <v>4715</v>
      </c>
      <c r="I119" s="200" t="s">
        <v>4714</v>
      </c>
      <c r="J119" s="218" t="s">
        <v>4541</v>
      </c>
      <c r="K119" s="200">
        <v>18</v>
      </c>
      <c r="L119" s="219">
        <f t="shared" si="29"/>
        <v>84600000</v>
      </c>
      <c r="M119" s="219">
        <f>N60</f>
        <v>15600280.199999999</v>
      </c>
      <c r="N119" s="184">
        <f t="shared" si="30"/>
        <v>68999719.799999997</v>
      </c>
      <c r="Q119" s="35">
        <v>9376000</v>
      </c>
      <c r="R119" s="5" t="s">
        <v>4695</v>
      </c>
      <c r="S119" s="5">
        <f>S118</f>
        <v>43</v>
      </c>
      <c r="T119" s="5" t="s">
        <v>4704</v>
      </c>
      <c r="U119" s="214">
        <v>3184.1</v>
      </c>
      <c r="V119" s="99">
        <f t="shared" si="27"/>
        <v>3324.7936021917812</v>
      </c>
      <c r="W119" s="32">
        <f t="shared" si="25"/>
        <v>3391.289474235617</v>
      </c>
      <c r="X119" s="32">
        <f t="shared" si="26"/>
        <v>3457.7853462794528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4"/>
        <v>60</v>
      </c>
      <c r="AM119" s="117">
        <f t="shared" si="11"/>
        <v>-487654620</v>
      </c>
      <c r="AN119" s="99"/>
      <c r="AO119" t="s">
        <v>25</v>
      </c>
    </row>
    <row r="120" spans="6:46">
      <c r="F120" s="217">
        <f t="shared" si="28"/>
        <v>1101.0119940029986</v>
      </c>
      <c r="G120" s="217">
        <f>P59</f>
        <v>4268.8</v>
      </c>
      <c r="H120" s="217" t="s">
        <v>4716</v>
      </c>
      <c r="I120" s="217" t="s">
        <v>4717</v>
      </c>
      <c r="J120" s="32" t="s">
        <v>4542</v>
      </c>
      <c r="K120" s="217">
        <v>19</v>
      </c>
      <c r="L120" s="1">
        <f t="shared" si="29"/>
        <v>89300000</v>
      </c>
      <c r="M120" s="1">
        <f>N59+N27</f>
        <v>90690656.000000015</v>
      </c>
      <c r="N120" s="113">
        <f t="shared" si="30"/>
        <v>-1390656.0000000149</v>
      </c>
      <c r="Q120" s="169">
        <v>128675</v>
      </c>
      <c r="R120" s="214" t="s">
        <v>4695</v>
      </c>
      <c r="S120" s="214">
        <f t="shared" si="31"/>
        <v>43</v>
      </c>
      <c r="T120" s="214" t="s">
        <v>4705</v>
      </c>
      <c r="U120" s="214">
        <v>699.9</v>
      </c>
      <c r="V120" s="99">
        <f t="shared" si="27"/>
        <v>730.82599232876714</v>
      </c>
      <c r="W120" s="32">
        <f t="shared" si="25"/>
        <v>745.44251217534247</v>
      </c>
      <c r="X120" s="32">
        <f t="shared" si="26"/>
        <v>760.0590320219178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59</v>
      </c>
      <c r="AM120" s="117">
        <f t="shared" si="11"/>
        <v>931760391</v>
      </c>
      <c r="AN120" s="99"/>
      <c r="AO120" t="s">
        <v>25</v>
      </c>
      <c r="AP120" t="s">
        <v>25</v>
      </c>
    </row>
    <row r="121" spans="6:46">
      <c r="F121" s="200"/>
      <c r="G121" s="200"/>
      <c r="H121" s="233">
        <v>35433</v>
      </c>
      <c r="I121" s="200" t="s">
        <v>4712</v>
      </c>
      <c r="J121" s="218" t="s">
        <v>4623</v>
      </c>
      <c r="K121" s="200">
        <v>0.75</v>
      </c>
      <c r="L121" s="219">
        <f t="shared" si="29"/>
        <v>3525000</v>
      </c>
      <c r="M121" s="219">
        <f>N61</f>
        <v>4142730</v>
      </c>
      <c r="N121" s="113">
        <f t="shared" si="30"/>
        <v>-617730</v>
      </c>
      <c r="Q121" s="35">
        <v>13100555</v>
      </c>
      <c r="R121" s="5" t="s">
        <v>4718</v>
      </c>
      <c r="S121" s="5">
        <f>S120-1</f>
        <v>42</v>
      </c>
      <c r="T121" s="5" t="s">
        <v>4719</v>
      </c>
      <c r="U121" s="214">
        <v>3180.5</v>
      </c>
      <c r="V121" s="99">
        <f t="shared" si="27"/>
        <v>3318.5946958904115</v>
      </c>
      <c r="W121" s="32">
        <f t="shared" si="25"/>
        <v>3384.9665898082199</v>
      </c>
      <c r="X121" s="32">
        <f t="shared" si="26"/>
        <v>3451.3384837260282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2">AL122+AK121</f>
        <v>56</v>
      </c>
      <c r="AM121" s="117">
        <f t="shared" ref="AM121:AM150" si="33">AJ121*AL121</f>
        <v>492800000</v>
      </c>
      <c r="AN121" s="99"/>
      <c r="AP121" t="s">
        <v>25</v>
      </c>
    </row>
    <row r="122" spans="6:46" ht="45">
      <c r="F122" s="217"/>
      <c r="G122" s="217"/>
      <c r="H122" s="217" t="s">
        <v>3881</v>
      </c>
      <c r="I122" s="217" t="s">
        <v>4859</v>
      </c>
      <c r="J122" s="32" t="s">
        <v>4296</v>
      </c>
      <c r="K122" s="217">
        <v>0.25</v>
      </c>
      <c r="L122" s="1">
        <f t="shared" si="29"/>
        <v>1175000</v>
      </c>
      <c r="M122" s="1">
        <f>N62</f>
        <v>2220148.1</v>
      </c>
      <c r="N122" s="113">
        <f t="shared" si="30"/>
        <v>-1045148.1000000001</v>
      </c>
      <c r="Q122" s="35">
        <v>622942</v>
      </c>
      <c r="R122" s="5" t="s">
        <v>4718</v>
      </c>
      <c r="S122" s="5">
        <f>S121</f>
        <v>42</v>
      </c>
      <c r="T122" s="5" t="s">
        <v>4720</v>
      </c>
      <c r="U122" s="214">
        <v>503.3</v>
      </c>
      <c r="V122" s="99">
        <f t="shared" si="27"/>
        <v>525.15287232876722</v>
      </c>
      <c r="W122" s="32">
        <f t="shared" si="25"/>
        <v>535.65592977534254</v>
      </c>
      <c r="X122" s="32">
        <f t="shared" si="26"/>
        <v>546.15898722191787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2"/>
        <v>56</v>
      </c>
      <c r="AM122" s="79">
        <f t="shared" si="33"/>
        <v>732010272</v>
      </c>
      <c r="AN122" s="209" t="s">
        <v>4635</v>
      </c>
    </row>
    <row r="123" spans="6:46">
      <c r="F123" s="200"/>
      <c r="G123" s="200"/>
      <c r="H123" s="200"/>
      <c r="I123" s="200"/>
      <c r="J123" s="218" t="s">
        <v>4680</v>
      </c>
      <c r="K123" s="200">
        <v>1</v>
      </c>
      <c r="L123" s="219">
        <f t="shared" si="29"/>
        <v>4700000</v>
      </c>
      <c r="M123" s="219">
        <f>N53+N56+N64+N63</f>
        <v>3344255.6</v>
      </c>
      <c r="N123" s="184">
        <f t="shared" si="30"/>
        <v>1355744.4</v>
      </c>
      <c r="Q123" s="35">
        <v>1472140</v>
      </c>
      <c r="R123" s="5" t="s">
        <v>4725</v>
      </c>
      <c r="S123" s="5">
        <f>S122-3</f>
        <v>39</v>
      </c>
      <c r="T123" s="5" t="s">
        <v>4729</v>
      </c>
      <c r="U123" s="168">
        <v>502</v>
      </c>
      <c r="V123" s="99">
        <f t="shared" si="27"/>
        <v>522.6411397260274</v>
      </c>
      <c r="W123" s="32">
        <f t="shared" si="25"/>
        <v>533.09396252054796</v>
      </c>
      <c r="X123" s="32">
        <f t="shared" si="26"/>
        <v>543.54678531506852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2"/>
        <v>55</v>
      </c>
      <c r="AM123" s="90">
        <f t="shared" si="33"/>
        <v>919987035</v>
      </c>
      <c r="AN123" s="89" t="s">
        <v>4649</v>
      </c>
    </row>
    <row r="124" spans="6:46">
      <c r="F124" s="217"/>
      <c r="G124" s="217"/>
      <c r="H124" s="217"/>
      <c r="I124" s="217"/>
      <c r="J124" s="32" t="s">
        <v>4831</v>
      </c>
      <c r="K124" s="217"/>
      <c r="L124" s="1"/>
      <c r="M124" s="1"/>
      <c r="N124" s="113">
        <v>50000000</v>
      </c>
      <c r="Q124" s="35">
        <v>4394591</v>
      </c>
      <c r="R124" s="5" t="s">
        <v>4732</v>
      </c>
      <c r="S124" s="5">
        <f>S123-1</f>
        <v>38</v>
      </c>
      <c r="T124" s="5" t="s">
        <v>4733</v>
      </c>
      <c r="U124" s="168">
        <v>481.7</v>
      </c>
      <c r="V124" s="99">
        <f t="shared" si="27"/>
        <v>501.13692493150688</v>
      </c>
      <c r="W124" s="32">
        <f t="shared" si="25"/>
        <v>511.15966343013702</v>
      </c>
      <c r="X124" s="32">
        <f t="shared" si="26"/>
        <v>521.18240192876715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2"/>
        <v>55</v>
      </c>
      <c r="AM124" s="117">
        <f t="shared" si="33"/>
        <v>660000000</v>
      </c>
      <c r="AN124" s="99" t="s">
        <v>4650</v>
      </c>
      <c r="AQ124" t="s">
        <v>25</v>
      </c>
    </row>
    <row r="125" spans="6:46">
      <c r="F125" s="200"/>
      <c r="G125" s="200"/>
      <c r="H125" s="200"/>
      <c r="I125" s="200"/>
      <c r="J125" s="218" t="s">
        <v>4878</v>
      </c>
      <c r="K125" s="200">
        <f>SUM(K115:K123)</f>
        <v>193</v>
      </c>
      <c r="L125" s="219"/>
      <c r="M125" s="219"/>
      <c r="N125" s="184"/>
      <c r="Q125" s="117">
        <v>4085110</v>
      </c>
      <c r="R125" s="19" t="s">
        <v>4735</v>
      </c>
      <c r="S125" s="19">
        <f>S124-1</f>
        <v>37</v>
      </c>
      <c r="T125" s="19" t="s">
        <v>4736</v>
      </c>
      <c r="U125" s="217">
        <v>3115.9</v>
      </c>
      <c r="V125" s="99">
        <f t="shared" si="27"/>
        <v>3239.238419726028</v>
      </c>
      <c r="W125" s="32">
        <f t="shared" si="25"/>
        <v>3304.0231881205486</v>
      </c>
      <c r="X125" s="32">
        <f t="shared" si="26"/>
        <v>3368.8079565150692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2"/>
        <v>54</v>
      </c>
      <c r="AM125" s="90">
        <f t="shared" si="33"/>
        <v>4789674018</v>
      </c>
      <c r="AN125" s="89" t="s">
        <v>4651</v>
      </c>
      <c r="AP125" t="s">
        <v>25</v>
      </c>
    </row>
    <row r="126" spans="6:46">
      <c r="F126" s="217"/>
      <c r="G126" s="217"/>
      <c r="H126" s="217" t="s">
        <v>25</v>
      </c>
      <c r="I126" s="217"/>
      <c r="J126" s="32"/>
      <c r="K126" s="217">
        <v>24</v>
      </c>
      <c r="L126" s="39">
        <f>10*P67</f>
        <v>4700000</v>
      </c>
      <c r="M126" s="1">
        <f>K126*L126</f>
        <v>112800000</v>
      </c>
      <c r="N126" s="113">
        <f>SUM(N115:N124)-M126</f>
        <v>3861394.0000000149</v>
      </c>
      <c r="Q126" s="117">
        <v>205386</v>
      </c>
      <c r="R126" s="19" t="s">
        <v>4737</v>
      </c>
      <c r="S126" s="19">
        <f>S125</f>
        <v>37</v>
      </c>
      <c r="T126" s="19" t="s">
        <v>4738</v>
      </c>
      <c r="U126" s="217">
        <v>178.1</v>
      </c>
      <c r="V126" s="99">
        <f t="shared" si="27"/>
        <v>185.14983232876716</v>
      </c>
      <c r="W126" s="32">
        <f t="shared" si="25"/>
        <v>188.8528289753425</v>
      </c>
      <c r="X126" s="32">
        <f t="shared" si="26"/>
        <v>192.55582562191785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53</v>
      </c>
      <c r="AM126" s="117">
        <f t="shared" si="33"/>
        <v>5353000</v>
      </c>
      <c r="AN126" s="99"/>
    </row>
    <row r="127" spans="6:46">
      <c r="F127" s="200"/>
      <c r="G127" s="200"/>
      <c r="H127" s="200"/>
      <c r="I127" s="200"/>
      <c r="J127" s="218"/>
      <c r="K127" s="200" t="s">
        <v>4823</v>
      </c>
      <c r="L127" s="219" t="s">
        <v>4253</v>
      </c>
      <c r="M127" s="219" t="s">
        <v>4689</v>
      </c>
      <c r="N127" s="184" t="s">
        <v>4690</v>
      </c>
      <c r="Q127" s="117">
        <v>8398607</v>
      </c>
      <c r="R127" s="19" t="s">
        <v>4749</v>
      </c>
      <c r="S127" s="19">
        <f>S126-8</f>
        <v>29</v>
      </c>
      <c r="T127" s="19" t="s">
        <v>4751</v>
      </c>
      <c r="U127" s="217">
        <v>3120.5</v>
      </c>
      <c r="V127" s="99">
        <f t="shared" si="27"/>
        <v>3224.8700383561645</v>
      </c>
      <c r="W127" s="32">
        <f t="shared" si="25"/>
        <v>3289.367439123288</v>
      </c>
      <c r="X127" s="32">
        <f t="shared" si="26"/>
        <v>3353.8648398904111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50" si="34">AL128+AK127</f>
        <v>53</v>
      </c>
      <c r="AM127" s="189">
        <f t="shared" si="33"/>
        <v>-2554600</v>
      </c>
      <c r="AN127" s="149" t="s">
        <v>4659</v>
      </c>
    </row>
    <row r="128" spans="6:46">
      <c r="F128" s="217"/>
      <c r="G128" s="217"/>
      <c r="H128" s="217"/>
      <c r="I128" s="217"/>
      <c r="J128" s="32" t="s">
        <v>4698</v>
      </c>
      <c r="K128" s="217"/>
      <c r="L128" s="1"/>
      <c r="M128" s="1"/>
      <c r="N128" s="113"/>
      <c r="P128" s="114"/>
      <c r="Q128" s="117">
        <v>18565999</v>
      </c>
      <c r="R128" s="19" t="s">
        <v>4752</v>
      </c>
      <c r="S128" s="19">
        <f>S127-1</f>
        <v>28</v>
      </c>
      <c r="T128" s="19" t="s">
        <v>4760</v>
      </c>
      <c r="U128" s="217">
        <v>3112.4</v>
      </c>
      <c r="V128" s="99">
        <f t="shared" si="27"/>
        <v>3214.1115265753429</v>
      </c>
      <c r="W128" s="32">
        <f t="shared" si="25"/>
        <v>3278.39375710685</v>
      </c>
      <c r="X128" s="32">
        <f t="shared" si="26"/>
        <v>3342.6759876383567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53</v>
      </c>
      <c r="AM128" s="189">
        <f t="shared" si="33"/>
        <v>2084346529</v>
      </c>
      <c r="AN128" s="89" t="s">
        <v>4660</v>
      </c>
    </row>
    <row r="129" spans="6:44">
      <c r="M129" t="s">
        <v>25</v>
      </c>
      <c r="Q129" s="117">
        <v>5924703</v>
      </c>
      <c r="R129" s="19" t="s">
        <v>4763</v>
      </c>
      <c r="S129" s="19">
        <f>S128-3</f>
        <v>25</v>
      </c>
      <c r="T129" s="19" t="s">
        <v>4862</v>
      </c>
      <c r="U129" s="217">
        <v>489</v>
      </c>
      <c r="V129" s="99">
        <f t="shared" si="27"/>
        <v>503.85488219178086</v>
      </c>
      <c r="W129" s="32">
        <f t="shared" si="25"/>
        <v>513.93197983561652</v>
      </c>
      <c r="X129" s="32">
        <f t="shared" si="26"/>
        <v>524.00907747945212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49</v>
      </c>
      <c r="AM129" s="90">
        <f t="shared" si="33"/>
        <v>428703450</v>
      </c>
      <c r="AN129" s="89" t="s">
        <v>4679</v>
      </c>
      <c r="AQ129" t="s">
        <v>25</v>
      </c>
    </row>
    <row r="130" spans="6:44">
      <c r="Q130" s="117">
        <v>164801</v>
      </c>
      <c r="R130" s="19" t="s">
        <v>4776</v>
      </c>
      <c r="S130" s="19">
        <f>S129-2</f>
        <v>23</v>
      </c>
      <c r="T130" s="19" t="s">
        <v>4781</v>
      </c>
      <c r="U130" s="217">
        <v>3095.1</v>
      </c>
      <c r="V130" s="99">
        <f t="shared" si="27"/>
        <v>3184.3745556164386</v>
      </c>
      <c r="W130" s="32">
        <f t="shared" si="25"/>
        <v>3248.0620467287672</v>
      </c>
      <c r="X130" s="32">
        <f t="shared" si="26"/>
        <v>3311.7495378410963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48</v>
      </c>
      <c r="AM130" s="117">
        <f t="shared" si="33"/>
        <v>2880000</v>
      </c>
      <c r="AN130" s="99" t="s">
        <v>4682</v>
      </c>
    </row>
    <row r="131" spans="6:44">
      <c r="F131" s="217"/>
      <c r="G131" s="217"/>
      <c r="H131" s="217"/>
      <c r="I131" s="217"/>
      <c r="J131" s="217" t="s">
        <v>4825</v>
      </c>
      <c r="K131" s="168" t="s">
        <v>4545</v>
      </c>
      <c r="L131" s="168" t="s">
        <v>4546</v>
      </c>
      <c r="M131" s="168" t="s">
        <v>4436</v>
      </c>
      <c r="N131" s="56" t="s">
        <v>190</v>
      </c>
      <c r="Q131" s="117">
        <v>223613</v>
      </c>
      <c r="R131" s="19" t="s">
        <v>4776</v>
      </c>
      <c r="S131" s="19">
        <f>S130</f>
        <v>23</v>
      </c>
      <c r="T131" s="19" t="s">
        <v>4782</v>
      </c>
      <c r="U131" s="217">
        <v>4637.1000000000004</v>
      </c>
      <c r="V131" s="99">
        <f t="shared" si="27"/>
        <v>4770.851750136987</v>
      </c>
      <c r="W131" s="32">
        <f t="shared" si="25"/>
        <v>4866.2687851397268</v>
      </c>
      <c r="X131" s="32">
        <f t="shared" si="26"/>
        <v>4961.6858201424666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47</v>
      </c>
      <c r="AM131" s="117">
        <f t="shared" si="33"/>
        <v>223250000</v>
      </c>
      <c r="AN131" s="20"/>
    </row>
    <row r="132" spans="6:44">
      <c r="F132" s="217" t="s">
        <v>4363</v>
      </c>
      <c r="G132" s="217" t="s">
        <v>941</v>
      </c>
      <c r="H132" s="217" t="s">
        <v>4545</v>
      </c>
      <c r="I132" s="217" t="s">
        <v>937</v>
      </c>
      <c r="J132" s="217" t="s">
        <v>4826</v>
      </c>
      <c r="K132" s="168" t="s">
        <v>4243</v>
      </c>
      <c r="L132" s="169">
        <v>1100000</v>
      </c>
      <c r="M132" s="169">
        <v>1637000</v>
      </c>
      <c r="N132" s="168">
        <f t="shared" ref="N132:N140" si="35">(M132-L132)*100/L132</f>
        <v>48.81818181818182</v>
      </c>
      <c r="P132" s="114"/>
      <c r="Q132" s="117">
        <v>989631</v>
      </c>
      <c r="R132" s="19" t="s">
        <v>4776</v>
      </c>
      <c r="S132" s="19">
        <f>S131</f>
        <v>23</v>
      </c>
      <c r="T132" s="19" t="s">
        <v>4783</v>
      </c>
      <c r="U132" s="217">
        <v>3863</v>
      </c>
      <c r="V132" s="99">
        <f t="shared" si="27"/>
        <v>3974.4237369863017</v>
      </c>
      <c r="W132" s="32">
        <f t="shared" si="25"/>
        <v>4053.9122117260276</v>
      </c>
      <c r="X132" s="32">
        <f t="shared" si="26"/>
        <v>4133.400686465754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47</v>
      </c>
      <c r="AM132" s="90">
        <f t="shared" si="33"/>
        <v>615754520</v>
      </c>
      <c r="AN132" s="89" t="s">
        <v>4696</v>
      </c>
      <c r="AQ132" t="s">
        <v>25</v>
      </c>
    </row>
    <row r="133" spans="6:44">
      <c r="F133" s="217">
        <v>3307.5</v>
      </c>
      <c r="G133" s="217">
        <f>P51</f>
        <v>3523.7</v>
      </c>
      <c r="H133" s="217" t="s">
        <v>4391</v>
      </c>
      <c r="I133" s="217">
        <v>3761</v>
      </c>
      <c r="J133" s="1">
        <f>I133*G133</f>
        <v>13252635.699999999</v>
      </c>
      <c r="K133" s="5" t="s">
        <v>4540</v>
      </c>
      <c r="L133" s="169">
        <v>1100000</v>
      </c>
      <c r="M133" s="169">
        <v>4748000</v>
      </c>
      <c r="N133" s="168">
        <f t="shared" si="35"/>
        <v>331.63636363636363</v>
      </c>
      <c r="Q133" s="117">
        <v>5001091</v>
      </c>
      <c r="R133" s="19" t="s">
        <v>4786</v>
      </c>
      <c r="S133" s="19">
        <f>S132-1</f>
        <v>22</v>
      </c>
      <c r="T133" s="19" t="s">
        <v>4787</v>
      </c>
      <c r="U133" s="217">
        <v>3125</v>
      </c>
      <c r="V133" s="99">
        <f t="shared" si="27"/>
        <v>3212.7397260273979</v>
      </c>
      <c r="W133" s="32">
        <f t="shared" si="25"/>
        <v>3276.9945205479457</v>
      </c>
      <c r="X133" s="32">
        <f t="shared" si="26"/>
        <v>3341.2493150684941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46</v>
      </c>
      <c r="AM133" s="117">
        <f t="shared" si="33"/>
        <v>-45080000</v>
      </c>
      <c r="AN133" s="20"/>
    </row>
    <row r="134" spans="6:44">
      <c r="F134" s="217">
        <v>5249.5</v>
      </c>
      <c r="G134" s="217">
        <f>P57</f>
        <v>5651</v>
      </c>
      <c r="H134" s="217" t="s">
        <v>4395</v>
      </c>
      <c r="I134" s="217">
        <v>7163</v>
      </c>
      <c r="J134" s="1">
        <f>I134*G134</f>
        <v>40478113</v>
      </c>
      <c r="K134" s="5" t="s">
        <v>4541</v>
      </c>
      <c r="L134" s="169">
        <v>1100000</v>
      </c>
      <c r="M134" s="169">
        <v>5137000</v>
      </c>
      <c r="N134" s="168">
        <f t="shared" si="35"/>
        <v>367</v>
      </c>
      <c r="Q134" s="117">
        <v>12497226</v>
      </c>
      <c r="R134" s="19" t="s">
        <v>4824</v>
      </c>
      <c r="S134" s="19">
        <f>S133-7</f>
        <v>15</v>
      </c>
      <c r="T134" s="19" t="s">
        <v>4828</v>
      </c>
      <c r="U134" s="217">
        <v>3307.5</v>
      </c>
      <c r="V134" s="99">
        <f t="shared" si="27"/>
        <v>3382.6029041095894</v>
      </c>
      <c r="W134" s="32">
        <f t="shared" si="25"/>
        <v>3450.2549621917815</v>
      </c>
      <c r="X134" s="32">
        <f t="shared" si="26"/>
        <v>3517.9070202739731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46</v>
      </c>
      <c r="AM134" s="90">
        <f t="shared" si="33"/>
        <v>611882340</v>
      </c>
      <c r="AN134" s="89" t="s">
        <v>4696</v>
      </c>
    </row>
    <row r="135" spans="6:44">
      <c r="F135" s="217">
        <v>519.79999999999995</v>
      </c>
      <c r="G135" s="217">
        <f>P58</f>
        <v>594.6</v>
      </c>
      <c r="H135" s="217" t="s">
        <v>4410</v>
      </c>
      <c r="I135" s="217">
        <v>0</v>
      </c>
      <c r="J135" s="1">
        <f>I135*G135</f>
        <v>0</v>
      </c>
      <c r="K135" s="19" t="s">
        <v>4391</v>
      </c>
      <c r="L135" s="169">
        <v>1100000</v>
      </c>
      <c r="M135" s="169">
        <v>4300000</v>
      </c>
      <c r="N135" s="168">
        <f t="shared" si="35"/>
        <v>290.90909090909093</v>
      </c>
      <c r="Q135" s="117">
        <v>24695044</v>
      </c>
      <c r="R135" s="19" t="s">
        <v>4824</v>
      </c>
      <c r="S135" s="19">
        <f>S134</f>
        <v>15</v>
      </c>
      <c r="T135" s="19" t="s">
        <v>4829</v>
      </c>
      <c r="U135" s="217">
        <v>5249.5</v>
      </c>
      <c r="V135" s="99">
        <f t="shared" si="27"/>
        <v>5368.6996054794527</v>
      </c>
      <c r="W135" s="32">
        <f t="shared" si="25"/>
        <v>5476.073597589042</v>
      </c>
      <c r="X135" s="32">
        <f t="shared" si="26"/>
        <v>5583.4475896986305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46</v>
      </c>
      <c r="AM135" s="117">
        <f t="shared" si="33"/>
        <v>18584000</v>
      </c>
      <c r="AN135" s="20" t="s">
        <v>4707</v>
      </c>
    </row>
    <row r="136" spans="6:44">
      <c r="F136" s="217">
        <v>4051</v>
      </c>
      <c r="G136" s="217">
        <f>P59</f>
        <v>4268.8</v>
      </c>
      <c r="H136" s="217" t="s">
        <v>4542</v>
      </c>
      <c r="I136" s="217">
        <v>130</v>
      </c>
      <c r="J136" s="1">
        <f>I136*G136</f>
        <v>554944</v>
      </c>
      <c r="K136" s="5" t="s">
        <v>4410</v>
      </c>
      <c r="L136" s="169">
        <v>1100000</v>
      </c>
      <c r="M136" s="169">
        <v>3191000</v>
      </c>
      <c r="N136" s="168">
        <f t="shared" si="35"/>
        <v>190.09090909090909</v>
      </c>
      <c r="Q136" s="117">
        <v>529210</v>
      </c>
      <c r="R136" s="19" t="s">
        <v>4824</v>
      </c>
      <c r="S136" s="19">
        <f>S135</f>
        <v>15</v>
      </c>
      <c r="T136" s="19" t="s">
        <v>4830</v>
      </c>
      <c r="U136" s="217">
        <v>4051</v>
      </c>
      <c r="V136" s="99">
        <f t="shared" si="27"/>
        <v>4142.9854465753433</v>
      </c>
      <c r="W136" s="32">
        <f t="shared" si="25"/>
        <v>4225.8451555068505</v>
      </c>
      <c r="X136" s="32">
        <f t="shared" si="26"/>
        <v>4308.7048644383576</v>
      </c>
      <c r="Y136" t="s">
        <v>25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34"/>
        <v>41</v>
      </c>
      <c r="AM136" s="90">
        <f t="shared" si="33"/>
        <v>175956748</v>
      </c>
      <c r="AN136" s="89" t="s">
        <v>4734</v>
      </c>
    </row>
    <row r="137" spans="6:44">
      <c r="F137" s="217"/>
      <c r="G137" s="217"/>
      <c r="H137" s="217"/>
      <c r="I137" s="217"/>
      <c r="J137" s="1">
        <f>SUM(J133:J136)</f>
        <v>54285692.700000003</v>
      </c>
      <c r="K137" s="5" t="s">
        <v>4542</v>
      </c>
      <c r="L137" s="169">
        <v>1100000</v>
      </c>
      <c r="M137" s="169">
        <v>5623000</v>
      </c>
      <c r="N137" s="168">
        <f t="shared" si="35"/>
        <v>411.18181818181819</v>
      </c>
      <c r="P137" s="114"/>
      <c r="Q137" s="117">
        <v>5416530</v>
      </c>
      <c r="R137" s="19" t="s">
        <v>4836</v>
      </c>
      <c r="S137" s="19">
        <f>S136-1</f>
        <v>14</v>
      </c>
      <c r="T137" s="19" t="s">
        <v>4899</v>
      </c>
      <c r="U137" s="217">
        <v>5235</v>
      </c>
      <c r="V137" s="99">
        <f t="shared" si="27"/>
        <v>5349.8544657534258</v>
      </c>
      <c r="W137" s="32">
        <f t="shared" si="25"/>
        <v>5456.8515550684942</v>
      </c>
      <c r="X137" s="32">
        <f t="shared" si="26"/>
        <v>5563.8486443835627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34"/>
        <v>39</v>
      </c>
      <c r="AM137" s="117">
        <f t="shared" si="33"/>
        <v>39000</v>
      </c>
      <c r="AN137" s="20"/>
      <c r="AQ137" t="s">
        <v>25</v>
      </c>
    </row>
    <row r="138" spans="6:44">
      <c r="F138" s="217"/>
      <c r="G138" s="217"/>
      <c r="H138" s="217"/>
      <c r="I138" s="217"/>
      <c r="J138" s="217" t="s">
        <v>6</v>
      </c>
      <c r="K138" s="19" t="s">
        <v>4395</v>
      </c>
      <c r="L138" s="169">
        <v>1100000</v>
      </c>
      <c r="M138" s="169">
        <v>7728000</v>
      </c>
      <c r="N138" s="168">
        <f t="shared" si="35"/>
        <v>602.5454545454545</v>
      </c>
      <c r="Q138" s="117">
        <v>153812</v>
      </c>
      <c r="R138" s="19" t="s">
        <v>4868</v>
      </c>
      <c r="S138" s="19">
        <f>S137-6</f>
        <v>8</v>
      </c>
      <c r="T138" s="19" t="s">
        <v>4869</v>
      </c>
      <c r="U138" s="217">
        <v>537.20000000000005</v>
      </c>
      <c r="V138" s="99">
        <f t="shared" si="27"/>
        <v>546.51342904109595</v>
      </c>
      <c r="W138" s="32">
        <f t="shared" si="25"/>
        <v>557.44369762191786</v>
      </c>
      <c r="X138" s="32">
        <f t="shared" si="26"/>
        <v>568.37396620273978</v>
      </c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34"/>
        <v>34</v>
      </c>
      <c r="AM138" s="79">
        <f t="shared" si="33"/>
        <v>297141606</v>
      </c>
      <c r="AN138" s="121" t="s">
        <v>4679</v>
      </c>
    </row>
    <row r="139" spans="6:44">
      <c r="K139" s="5" t="s">
        <v>4544</v>
      </c>
      <c r="L139" s="169">
        <v>1100000</v>
      </c>
      <c r="M139" s="169">
        <v>2904000</v>
      </c>
      <c r="N139" s="168">
        <f t="shared" si="35"/>
        <v>164</v>
      </c>
      <c r="Q139" s="117">
        <v>1837912</v>
      </c>
      <c r="R139" s="19" t="s">
        <v>4872</v>
      </c>
      <c r="S139" s="19">
        <f>S138-1</f>
        <v>7</v>
      </c>
      <c r="T139" s="19" t="s">
        <v>4873</v>
      </c>
      <c r="U139" s="217">
        <v>296.60000000000002</v>
      </c>
      <c r="V139" s="99">
        <f t="shared" si="27"/>
        <v>301.51462136986311</v>
      </c>
      <c r="W139" s="32">
        <f t="shared" si="25"/>
        <v>307.54491379726039</v>
      </c>
      <c r="X139" s="32">
        <f t="shared" si="26"/>
        <v>313.57520622465762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34"/>
        <v>32</v>
      </c>
      <c r="AM139" s="79">
        <f t="shared" si="33"/>
        <v>563048896</v>
      </c>
      <c r="AN139" s="121" t="s">
        <v>4753</v>
      </c>
    </row>
    <row r="140" spans="6:44">
      <c r="K140" s="56" t="s">
        <v>1086</v>
      </c>
      <c r="L140" s="169">
        <v>1100000</v>
      </c>
      <c r="M140" s="169">
        <v>3400000</v>
      </c>
      <c r="N140" s="168">
        <f t="shared" si="35"/>
        <v>209.09090909090909</v>
      </c>
      <c r="Q140" s="117">
        <v>104025</v>
      </c>
      <c r="R140" s="19" t="s">
        <v>974</v>
      </c>
      <c r="S140" s="19">
        <f>S139-3</f>
        <v>4</v>
      </c>
      <c r="T140" s="19" t="s">
        <v>4892</v>
      </c>
      <c r="U140" s="217">
        <v>295</v>
      </c>
      <c r="V140" s="99">
        <f t="shared" si="27"/>
        <v>299.20920547945212</v>
      </c>
      <c r="W140" s="32">
        <f t="shared" si="25"/>
        <v>305.19338958904115</v>
      </c>
      <c r="X140" s="32">
        <f t="shared" si="26"/>
        <v>311.17757369863023</v>
      </c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34"/>
        <v>31</v>
      </c>
      <c r="AM140" s="79">
        <f t="shared" si="33"/>
        <v>413394579</v>
      </c>
      <c r="AN140" s="121" t="s">
        <v>4696</v>
      </c>
    </row>
    <row r="141" spans="6:44">
      <c r="K141" s="207" t="s">
        <v>4576</v>
      </c>
      <c r="Q141" s="117">
        <v>10926171</v>
      </c>
      <c r="R141" s="19" t="s">
        <v>4902</v>
      </c>
      <c r="S141" s="19">
        <f>S140-2</f>
        <v>2</v>
      </c>
      <c r="T141" s="19" t="s">
        <v>4904</v>
      </c>
      <c r="U141" s="217">
        <v>5355.4</v>
      </c>
      <c r="V141" s="99">
        <f t="shared" si="27"/>
        <v>5423.5969841095894</v>
      </c>
      <c r="W141" s="32">
        <f t="shared" si="25"/>
        <v>5532.0689237917813</v>
      </c>
      <c r="X141" s="32">
        <f t="shared" si="26"/>
        <v>5640.5408634739733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34"/>
        <v>18</v>
      </c>
      <c r="AM141" s="232">
        <f t="shared" si="33"/>
        <v>900000000</v>
      </c>
      <c r="AN141" s="161" t="s">
        <v>4827</v>
      </c>
      <c r="AP141" t="s">
        <v>25</v>
      </c>
    </row>
    <row r="142" spans="6:44">
      <c r="K142" s="207" t="s">
        <v>4577</v>
      </c>
      <c r="P142" s="114"/>
      <c r="Q142" s="117">
        <v>146418</v>
      </c>
      <c r="R142" s="19" t="s">
        <v>4905</v>
      </c>
      <c r="S142" s="19">
        <f>S141-1</f>
        <v>1</v>
      </c>
      <c r="T142" s="19" t="s">
        <v>4906</v>
      </c>
      <c r="U142" s="217">
        <v>304.89999999999998</v>
      </c>
      <c r="V142" s="99">
        <f t="shared" ref="V142:V173" si="36">U142*(1+$N$98+$Q$15*S142/36500)</f>
        <v>308.54877589041092</v>
      </c>
      <c r="W142" s="32">
        <f t="shared" si="25"/>
        <v>314.71975140821917</v>
      </c>
      <c r="X142" s="32">
        <f t="shared" si="26"/>
        <v>320.89072692602736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7</v>
      </c>
      <c r="AM142" s="117">
        <f t="shared" si="33"/>
        <v>210000</v>
      </c>
      <c r="AN142" s="20"/>
    </row>
    <row r="143" spans="6:44">
      <c r="K143" s="207" t="s">
        <v>4578</v>
      </c>
      <c r="Q143" s="117">
        <v>441599</v>
      </c>
      <c r="R143" s="19" t="s">
        <v>4914</v>
      </c>
      <c r="S143" s="19">
        <f>S142-1</f>
        <v>0</v>
      </c>
      <c r="T143" s="19" t="s">
        <v>4917</v>
      </c>
      <c r="U143" s="217">
        <v>220</v>
      </c>
      <c r="V143" s="99">
        <f t="shared" si="36"/>
        <v>222.46400000000003</v>
      </c>
      <c r="W143" s="32">
        <f t="shared" si="25"/>
        <v>226.91328000000004</v>
      </c>
      <c r="X143" s="32">
        <f t="shared" si="26"/>
        <v>231.36256000000003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34"/>
        <v>4</v>
      </c>
      <c r="AM143" s="117">
        <f t="shared" si="33"/>
        <v>2400000</v>
      </c>
      <c r="AN143" s="20"/>
      <c r="AR143" t="s">
        <v>25</v>
      </c>
    </row>
    <row r="144" spans="6:44">
      <c r="Q144" s="169">
        <v>62110</v>
      </c>
      <c r="R144" s="168" t="s">
        <v>4937</v>
      </c>
      <c r="S144" s="168">
        <f>S143-3</f>
        <v>-3</v>
      </c>
      <c r="T144" s="168" t="s">
        <v>4942</v>
      </c>
      <c r="U144" s="168">
        <v>270</v>
      </c>
      <c r="V144" s="99">
        <f t="shared" si="36"/>
        <v>272.40263013698632</v>
      </c>
      <c r="W144" s="32">
        <f t="shared" si="25"/>
        <v>277.85068273972604</v>
      </c>
      <c r="X144" s="32">
        <f t="shared" si="26"/>
        <v>283.29873534246576</v>
      </c>
      <c r="AH144" s="20">
        <v>124</v>
      </c>
      <c r="AI144" s="117" t="s">
        <v>4914</v>
      </c>
      <c r="AJ144" s="117">
        <v>30000</v>
      </c>
      <c r="AK144" s="20">
        <v>3</v>
      </c>
      <c r="AL144" s="20">
        <f>AL148+AK144</f>
        <v>3</v>
      </c>
      <c r="AM144" s="117">
        <f t="shared" si="33"/>
        <v>90000</v>
      </c>
      <c r="AN144" s="20"/>
    </row>
    <row r="145" spans="6:44">
      <c r="F145" t="s">
        <v>4909</v>
      </c>
      <c r="G145">
        <v>1200</v>
      </c>
      <c r="H145" t="s">
        <v>4910</v>
      </c>
      <c r="Q145" s="169">
        <v>67655</v>
      </c>
      <c r="R145" s="217" t="s">
        <v>4946</v>
      </c>
      <c r="S145" s="217">
        <f>S144-1</f>
        <v>-4</v>
      </c>
      <c r="T145" s="217" t="s">
        <v>4953</v>
      </c>
      <c r="U145" s="217">
        <v>150</v>
      </c>
      <c r="V145" s="99">
        <f t="shared" si="36"/>
        <v>151.21972602739726</v>
      </c>
      <c r="W145" s="32">
        <f t="shared" si="25"/>
        <v>154.24412054794522</v>
      </c>
      <c r="X145" s="32">
        <f t="shared" si="26"/>
        <v>157.26851506849314</v>
      </c>
      <c r="AH145" s="20">
        <v>125</v>
      </c>
      <c r="AI145" s="117" t="s">
        <v>4937</v>
      </c>
      <c r="AJ145" s="117">
        <v>2250000</v>
      </c>
      <c r="AK145" s="20">
        <v>1</v>
      </c>
      <c r="AL145" s="20">
        <f t="shared" ref="AL145:AL149" si="37">AL149+AK145</f>
        <v>1</v>
      </c>
      <c r="AM145" s="117">
        <f t="shared" ref="AM145:AM149" si="38">AJ145*AL145</f>
        <v>2250000</v>
      </c>
      <c r="AN145" s="20"/>
    </row>
    <row r="146" spans="6:44">
      <c r="G146">
        <v>1350</v>
      </c>
      <c r="H146" t="s">
        <v>4911</v>
      </c>
      <c r="Q146" s="169">
        <v>101344</v>
      </c>
      <c r="R146" s="217" t="s">
        <v>4946</v>
      </c>
      <c r="S146" s="217">
        <f>S145</f>
        <v>-4</v>
      </c>
      <c r="T146" s="217" t="s">
        <v>4954</v>
      </c>
      <c r="U146" s="217">
        <v>113.6</v>
      </c>
      <c r="V146" s="99">
        <f t="shared" si="36"/>
        <v>114.52373917808218</v>
      </c>
      <c r="W146" s="32">
        <f t="shared" si="25"/>
        <v>116.81421396164383</v>
      </c>
      <c r="X146" s="32">
        <f t="shared" si="26"/>
        <v>119.10468874520548</v>
      </c>
      <c r="Y146" t="s">
        <v>4918</v>
      </c>
      <c r="AH146" s="23">
        <v>126</v>
      </c>
      <c r="AI146" s="35" t="s">
        <v>4946</v>
      </c>
      <c r="AJ146" s="35">
        <v>-31412200</v>
      </c>
      <c r="AK146" s="23">
        <v>1</v>
      </c>
      <c r="AL146" s="23">
        <f t="shared" si="37"/>
        <v>1</v>
      </c>
      <c r="AM146" s="35">
        <f t="shared" si="38"/>
        <v>-31412200</v>
      </c>
      <c r="AN146" s="23" t="s">
        <v>4908</v>
      </c>
    </row>
    <row r="147" spans="6:44">
      <c r="G147">
        <v>1050</v>
      </c>
      <c r="H147" t="s">
        <v>4912</v>
      </c>
      <c r="Q147" s="169">
        <v>2148718</v>
      </c>
      <c r="R147" s="217" t="s">
        <v>4946</v>
      </c>
      <c r="S147" s="217">
        <f>S146</f>
        <v>-4</v>
      </c>
      <c r="T147" s="217" t="s">
        <v>4955</v>
      </c>
      <c r="U147" s="217">
        <v>3400.3</v>
      </c>
      <c r="V147" s="99">
        <f t="shared" si="36"/>
        <v>3427.9495627397264</v>
      </c>
      <c r="W147" s="32">
        <f t="shared" si="25"/>
        <v>3496.5085539945208</v>
      </c>
      <c r="X147" s="32">
        <f t="shared" si="26"/>
        <v>3565.0675452493156</v>
      </c>
      <c r="Y147" s="95">
        <v>33906300</v>
      </c>
      <c r="AH147" s="20"/>
      <c r="AI147" s="117"/>
      <c r="AJ147" s="117"/>
      <c r="AK147" s="20"/>
      <c r="AL147" s="20">
        <f t="shared" si="37"/>
        <v>0</v>
      </c>
      <c r="AM147" s="117">
        <f t="shared" si="38"/>
        <v>0</v>
      </c>
      <c r="AN147" s="20"/>
    </row>
    <row r="148" spans="6:44">
      <c r="Q148" s="169"/>
      <c r="R148" s="168"/>
      <c r="S148" s="168"/>
      <c r="T148" s="168"/>
      <c r="U148" s="168"/>
      <c r="V148" s="99">
        <f t="shared" si="36"/>
        <v>0</v>
      </c>
      <c r="W148" s="32">
        <f t="shared" si="25"/>
        <v>0</v>
      </c>
      <c r="X148" s="32">
        <f t="shared" si="26"/>
        <v>0</v>
      </c>
      <c r="AH148" s="99"/>
      <c r="AI148" s="113"/>
      <c r="AJ148" s="113"/>
      <c r="AK148" s="99"/>
      <c r="AL148" s="20">
        <f t="shared" si="37"/>
        <v>0</v>
      </c>
      <c r="AM148" s="117">
        <f t="shared" si="38"/>
        <v>0</v>
      </c>
      <c r="AN148" s="20"/>
      <c r="AR148" t="s">
        <v>25</v>
      </c>
    </row>
    <row r="149" spans="6:44">
      <c r="Q149" s="113">
        <f>SUM(N51:N67)-SUM(Q78:Q148)</f>
        <v>12201619.5</v>
      </c>
      <c r="R149" s="112"/>
      <c r="S149" s="112"/>
      <c r="T149" s="112"/>
      <c r="U149" s="168"/>
      <c r="V149" s="99" t="s">
        <v>25</v>
      </c>
      <c r="W149" s="32"/>
      <c r="X149" s="32"/>
      <c r="Z149" t="s">
        <v>4919</v>
      </c>
      <c r="AH149" s="99"/>
      <c r="AI149" s="113"/>
      <c r="AJ149" s="113"/>
      <c r="AK149" s="99"/>
      <c r="AL149" s="20">
        <f t="shared" si="37"/>
        <v>0</v>
      </c>
      <c r="AM149" s="117">
        <f t="shared" si="38"/>
        <v>0</v>
      </c>
      <c r="AN149" s="20"/>
    </row>
    <row r="150" spans="6:44">
      <c r="Q150" s="26"/>
      <c r="R150" s="181"/>
      <c r="S150" s="181"/>
      <c r="T150" t="s">
        <v>25</v>
      </c>
      <c r="U150" s="96" t="s">
        <v>25</v>
      </c>
      <c r="V150" s="96" t="s">
        <v>25</v>
      </c>
      <c r="W150" s="96" t="s">
        <v>25</v>
      </c>
      <c r="Y150" s="95">
        <f>Y147*W159/100</f>
        <v>17437011.198787231</v>
      </c>
      <c r="Z150" s="95">
        <v>1663925</v>
      </c>
      <c r="AA150" s="114">
        <f>Y150-Z150</f>
        <v>15773086.198787231</v>
      </c>
      <c r="AB150" t="s">
        <v>4920</v>
      </c>
      <c r="AH150" s="99"/>
      <c r="AI150" s="113"/>
      <c r="AJ150" s="113"/>
      <c r="AK150" s="99"/>
      <c r="AL150" s="99">
        <f t="shared" si="34"/>
        <v>0</v>
      </c>
      <c r="AM150" s="117">
        <f t="shared" si="33"/>
        <v>0</v>
      </c>
      <c r="AN150" s="99"/>
      <c r="AP150" t="s">
        <v>25</v>
      </c>
    </row>
    <row r="151" spans="6:44">
      <c r="R151" s="32" t="s">
        <v>4580</v>
      </c>
      <c r="S151" s="32" t="s">
        <v>950</v>
      </c>
      <c r="T151" t="s">
        <v>25</v>
      </c>
      <c r="U151" s="96" t="s">
        <v>25</v>
      </c>
      <c r="V151" s="96" t="s">
        <v>25</v>
      </c>
      <c r="W151" s="96" t="s">
        <v>25</v>
      </c>
      <c r="X151" s="122" t="s">
        <v>25</v>
      </c>
      <c r="Y151" s="95">
        <f>Y147*W160/100</f>
        <v>15862409.375395589</v>
      </c>
      <c r="AA151" s="114">
        <f>Y151+Z150</f>
        <v>17526334.375395589</v>
      </c>
      <c r="AB151" t="s">
        <v>4921</v>
      </c>
      <c r="AH151" s="99"/>
      <c r="AI151" s="99"/>
      <c r="AJ151" s="95">
        <f>SUM(AJ20:AJ150)</f>
        <v>510823886</v>
      </c>
      <c r="AK151" s="99"/>
      <c r="AL151" s="99"/>
      <c r="AM151" s="95">
        <f>SUM(AM20:AM150)</f>
        <v>59309381257</v>
      </c>
      <c r="AN151" s="95">
        <f>AM151*AN154/31</f>
        <v>31887401.851949003</v>
      </c>
    </row>
    <row r="152" spans="6:44">
      <c r="R152" s="32">
        <v>2480</v>
      </c>
      <c r="S152" s="239">
        <v>13041741</v>
      </c>
      <c r="U152" s="96" t="s">
        <v>25</v>
      </c>
      <c r="V152" s="122" t="s">
        <v>25</v>
      </c>
      <c r="X152" t="s">
        <v>25</v>
      </c>
      <c r="Y152" s="95">
        <f>Y147*W161/100</f>
        <v>606879.42581718042</v>
      </c>
      <c r="AA152" s="114">
        <f>Y152</f>
        <v>606879.42581718042</v>
      </c>
      <c r="AB152" t="s">
        <v>4922</v>
      </c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6:44">
      <c r="Q153" t="s">
        <v>25</v>
      </c>
      <c r="R153" s="32">
        <v>1450</v>
      </c>
      <c r="S153" s="1">
        <f>S152*R153/R152</f>
        <v>7625211.4717741935</v>
      </c>
      <c r="U153" s="96" t="s">
        <v>25</v>
      </c>
      <c r="V153" s="122" t="s">
        <v>25</v>
      </c>
      <c r="W153" s="96" t="s">
        <v>25</v>
      </c>
      <c r="X153" t="s">
        <v>25</v>
      </c>
      <c r="AH153" s="99"/>
      <c r="AI153" s="99"/>
      <c r="AJ153" s="99"/>
      <c r="AK153" s="99"/>
      <c r="AL153" s="99"/>
      <c r="AM153" s="99"/>
      <c r="AN153" s="99"/>
    </row>
    <row r="154" spans="6:44">
      <c r="R154" s="32">
        <f>R152-R153</f>
        <v>1030</v>
      </c>
      <c r="S154" s="1">
        <f>R154*S152/R152</f>
        <v>5416529.5282258065</v>
      </c>
      <c r="V154" s="96"/>
      <c r="W154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6:44">
      <c r="V155" s="96"/>
      <c r="W155"/>
      <c r="AH155" s="99"/>
      <c r="AI155" s="99"/>
      <c r="AJ155" s="99"/>
      <c r="AK155" s="99"/>
      <c r="AL155" s="99"/>
      <c r="AM155" s="99"/>
      <c r="AN155" s="99"/>
    </row>
    <row r="156" spans="6:44">
      <c r="Q156" s="99" t="s">
        <v>4463</v>
      </c>
      <c r="R156" s="99" t="s">
        <v>4465</v>
      </c>
      <c r="S156" s="99"/>
      <c r="T156" s="99" t="s">
        <v>4466</v>
      </c>
      <c r="U156" s="99"/>
      <c r="V156" s="99"/>
      <c r="W156" s="99" t="s">
        <v>4583</v>
      </c>
      <c r="AH156" s="99"/>
      <c r="AI156" s="99" t="s">
        <v>4061</v>
      </c>
      <c r="AJ156" s="95">
        <f>AJ151+AN151</f>
        <v>542711287.85194898</v>
      </c>
      <c r="AK156" s="99"/>
      <c r="AL156" s="99"/>
      <c r="AM156" s="99"/>
      <c r="AN156" s="99"/>
    </row>
    <row r="157" spans="6:44">
      <c r="Q157" s="113">
        <v>1000</v>
      </c>
      <c r="R157" s="99">
        <v>0.25</v>
      </c>
      <c r="S157" s="99"/>
      <c r="T157" s="99">
        <f>1-R157</f>
        <v>0.75</v>
      </c>
      <c r="U157" s="99"/>
      <c r="V157" s="99"/>
      <c r="W157" s="99"/>
      <c r="AI157" t="s">
        <v>4064</v>
      </c>
      <c r="AJ157" s="114">
        <f>SUM(N49:N67)</f>
        <v>586749802.5</v>
      </c>
    </row>
    <row r="158" spans="6:44">
      <c r="P158">
        <f>R160+8444</f>
        <v>1519985</v>
      </c>
      <c r="Q158" s="168" t="s">
        <v>4450</v>
      </c>
      <c r="R158" s="168" t="s">
        <v>4468</v>
      </c>
      <c r="S158" s="168" t="s">
        <v>4470</v>
      </c>
      <c r="T158" s="168" t="s">
        <v>180</v>
      </c>
      <c r="U158" s="168" t="s">
        <v>4464</v>
      </c>
      <c r="V158" s="56" t="s">
        <v>4467</v>
      </c>
      <c r="W158" s="99"/>
      <c r="X158" s="115"/>
      <c r="AI158" t="s">
        <v>4136</v>
      </c>
      <c r="AJ158" s="114">
        <f>AJ157-AJ151</f>
        <v>75925916.5</v>
      </c>
      <c r="AM158" t="s">
        <v>25</v>
      </c>
    </row>
    <row r="159" spans="6:44">
      <c r="Q159" s="168" t="s">
        <v>751</v>
      </c>
      <c r="R159" s="56">
        <v>1661586</v>
      </c>
      <c r="S159" s="113">
        <f>R159*$T$228</f>
        <v>440794037.2039547</v>
      </c>
      <c r="T159" s="168" t="s">
        <v>4462</v>
      </c>
      <c r="U159" s="168">
        <f>$Q$157*$T$157*S159/$R$183</f>
        <v>385.70290474308382</v>
      </c>
      <c r="V159" s="95">
        <f>S159+U159</f>
        <v>440794422.90685946</v>
      </c>
      <c r="W159" s="99">
        <f>R159*100/U225</f>
        <v>51.427053965744513</v>
      </c>
      <c r="X159" s="221"/>
      <c r="AI159" t="s">
        <v>943</v>
      </c>
      <c r="AJ159" s="114">
        <f>AN151</f>
        <v>31887401.851949003</v>
      </c>
    </row>
    <row r="160" spans="6:44">
      <c r="P160" s="114"/>
      <c r="Q160" s="168" t="s">
        <v>4452</v>
      </c>
      <c r="R160" s="56">
        <v>1511541</v>
      </c>
      <c r="S160" s="113">
        <f>R160*$T$228</f>
        <v>400989331.75249606</v>
      </c>
      <c r="T160" s="168" t="s">
        <v>4462</v>
      </c>
      <c r="U160" s="168">
        <f>$Q$157*$T$157*S160/$R$183+Q157*R157</f>
        <v>600.87305402083666</v>
      </c>
      <c r="V160" s="95">
        <f>S160+U160</f>
        <v>400989932.62555009</v>
      </c>
      <c r="W160" s="99">
        <f>R160*100/U225</f>
        <v>46.783073869444877</v>
      </c>
      <c r="X160" s="115"/>
      <c r="AI160" t="s">
        <v>4065</v>
      </c>
      <c r="AJ160" s="114">
        <f>AJ157-AJ156</f>
        <v>44038514.648051023</v>
      </c>
      <c r="AN160" t="s">
        <v>25</v>
      </c>
    </row>
    <row r="161" spans="16:40">
      <c r="Q161" s="168" t="s">
        <v>4451</v>
      </c>
      <c r="R161" s="56">
        <v>57830</v>
      </c>
      <c r="S161" s="113">
        <f>R161*$T$228</f>
        <v>15341438.343549296</v>
      </c>
      <c r="T161" s="168" t="s">
        <v>4462</v>
      </c>
      <c r="U161" s="168">
        <f>$Q$157*$T$157*S161/$R$183</f>
        <v>13.424041236079589</v>
      </c>
      <c r="V161" s="95">
        <f>S161+U161</f>
        <v>15341451.767590532</v>
      </c>
      <c r="W161" s="99">
        <f>R161*100/U225</f>
        <v>1.7898721648106117</v>
      </c>
      <c r="X161" s="115"/>
      <c r="AM161" t="s">
        <v>25</v>
      </c>
    </row>
    <row r="162" spans="16:40">
      <c r="Q162" s="168"/>
      <c r="R162" s="56"/>
      <c r="S162" s="168"/>
      <c r="T162" s="168"/>
      <c r="U162" s="168"/>
      <c r="V162" s="99"/>
      <c r="W162" s="99"/>
      <c r="X162" s="115"/>
      <c r="AJ162" t="s">
        <v>25</v>
      </c>
    </row>
    <row r="163" spans="16:40">
      <c r="Q163" s="168"/>
      <c r="R163" s="56"/>
      <c r="S163" s="168"/>
      <c r="T163" s="168"/>
      <c r="U163" s="168"/>
      <c r="V163" s="168"/>
      <c r="W163" s="99"/>
      <c r="X163" s="96"/>
    </row>
    <row r="164" spans="16:40">
      <c r="Q164" s="168"/>
      <c r="R164" s="168"/>
      <c r="S164" s="168"/>
      <c r="T164" s="168"/>
      <c r="U164" s="168"/>
      <c r="V164" s="168"/>
      <c r="W164" s="99"/>
      <c r="X164" s="96"/>
    </row>
    <row r="165" spans="16:40">
      <c r="P165" s="114"/>
      <c r="Q165" s="99"/>
      <c r="R165" s="99"/>
      <c r="S165" s="99"/>
      <c r="T165" s="99" t="s">
        <v>25</v>
      </c>
      <c r="U165" s="99"/>
      <c r="V165" s="99"/>
      <c r="W165" s="99"/>
      <c r="X165" s="96"/>
    </row>
    <row r="166" spans="16:40">
      <c r="Q166" s="99"/>
      <c r="R166" s="99"/>
      <c r="S166" s="99"/>
      <c r="T166" s="99"/>
      <c r="U166" s="99"/>
      <c r="V166" s="99"/>
      <c r="W166" s="99"/>
      <c r="X166" s="96"/>
    </row>
    <row r="167" spans="16:40">
      <c r="Q167" s="99"/>
      <c r="R167" s="99"/>
      <c r="S167" s="99"/>
      <c r="T167" s="99"/>
      <c r="U167" s="99"/>
      <c r="V167" s="99"/>
      <c r="W167" s="99"/>
      <c r="X167" s="96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P168" s="114"/>
      <c r="Q168" s="96"/>
      <c r="R168" s="96"/>
      <c r="S168" s="96"/>
      <c r="T168" s="96"/>
      <c r="V168" s="96"/>
      <c r="X168" s="115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241</v>
      </c>
      <c r="AM168" s="99">
        <f>AJ168*AL168</f>
        <v>856952620</v>
      </c>
      <c r="AN168" s="99" t="s">
        <v>4313</v>
      </c>
    </row>
    <row r="169" spans="16:40">
      <c r="P169" s="114"/>
      <c r="Q169" s="96"/>
      <c r="R169" s="96"/>
      <c r="S169" s="96"/>
      <c r="T169" s="96"/>
      <c r="V169" s="96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9">AK169+AL170</f>
        <v>239</v>
      </c>
      <c r="AM169" s="99">
        <f t="shared" ref="AM169:AM197" si="40">AJ169*AL169</f>
        <v>411280043</v>
      </c>
      <c r="AN169" s="99" t="s">
        <v>4314</v>
      </c>
    </row>
    <row r="170" spans="16:40">
      <c r="Q170" s="96"/>
      <c r="R170" s="96"/>
      <c r="S170" s="96"/>
      <c r="T170" s="96" t="s">
        <v>25</v>
      </c>
      <c r="V170" s="96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9"/>
        <v>188</v>
      </c>
      <c r="AM170" s="99">
        <f t="shared" si="40"/>
        <v>28200000</v>
      </c>
      <c r="AN170" s="99"/>
    </row>
    <row r="171" spans="16:40">
      <c r="Q171" s="96"/>
      <c r="R171" s="96"/>
      <c r="S171" s="96"/>
      <c r="T171" s="96"/>
      <c r="V171" s="96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9"/>
        <v>185</v>
      </c>
      <c r="AM171" s="99">
        <f t="shared" si="40"/>
        <v>-17575000</v>
      </c>
      <c r="AN171" s="99"/>
    </row>
    <row r="172" spans="16:40">
      <c r="Q172" s="96"/>
      <c r="R172" s="96"/>
      <c r="S172" s="96"/>
      <c r="T172" s="99" t="s">
        <v>180</v>
      </c>
      <c r="U172" s="99" t="s">
        <v>4486</v>
      </c>
      <c r="V172" s="99" t="s">
        <v>4487</v>
      </c>
      <c r="W172" s="99" t="s">
        <v>4497</v>
      </c>
      <c r="X172" s="99" t="s">
        <v>8</v>
      </c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9"/>
        <v>177</v>
      </c>
      <c r="AM172" s="99">
        <f t="shared" si="40"/>
        <v>557550000</v>
      </c>
      <c r="AN172" s="99"/>
    </row>
    <row r="173" spans="16:40">
      <c r="Q173" s="36" t="s">
        <v>4579</v>
      </c>
      <c r="R173" s="95">
        <f>SUM(N51:N67)</f>
        <v>586651208.5</v>
      </c>
      <c r="T173" s="113" t="s">
        <v>4462</v>
      </c>
      <c r="U173" s="56">
        <v>1000000</v>
      </c>
      <c r="V173" s="113">
        <v>239.024</v>
      </c>
      <c r="W173" s="113">
        <f t="shared" ref="W173:W221" si="41">U173*V173</f>
        <v>239024000</v>
      </c>
      <c r="X173" s="99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9"/>
        <v>161</v>
      </c>
      <c r="AM173" s="99">
        <f t="shared" si="40"/>
        <v>-10465000</v>
      </c>
      <c r="AN173" s="99"/>
    </row>
    <row r="174" spans="16:40">
      <c r="P174" s="114"/>
      <c r="Q174" s="99" t="s">
        <v>4453</v>
      </c>
      <c r="R174" s="95">
        <f>SUM(N21:N29)</f>
        <v>265078408.60000002</v>
      </c>
      <c r="T174" s="168" t="s">
        <v>4444</v>
      </c>
      <c r="U174" s="56">
        <v>5904</v>
      </c>
      <c r="V174" s="113">
        <v>237.148</v>
      </c>
      <c r="W174" s="113">
        <f t="shared" si="41"/>
        <v>1400121.7919999999</v>
      </c>
      <c r="X174" s="99" t="s">
        <v>751</v>
      </c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9"/>
        <v>160</v>
      </c>
      <c r="AM174" s="99">
        <f t="shared" si="40"/>
        <v>-15200000</v>
      </c>
      <c r="AN174" s="99"/>
    </row>
    <row r="175" spans="16:40">
      <c r="P175" s="114"/>
      <c r="Q175" s="99" t="s">
        <v>4454</v>
      </c>
      <c r="R175" s="95">
        <f>SUM(N32:N38)</f>
        <v>4626857.2</v>
      </c>
      <c r="T175" s="168" t="s">
        <v>4232</v>
      </c>
      <c r="U175" s="168">
        <v>1000</v>
      </c>
      <c r="V175" s="113">
        <v>247.393</v>
      </c>
      <c r="W175" s="113">
        <f t="shared" si="41"/>
        <v>247393</v>
      </c>
      <c r="X175" s="99" t="s">
        <v>751</v>
      </c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9"/>
        <v>154</v>
      </c>
      <c r="AM175" s="99">
        <f t="shared" si="40"/>
        <v>35728000</v>
      </c>
      <c r="AN175" s="99"/>
    </row>
    <row r="176" spans="16:40">
      <c r="Q176" s="99" t="s">
        <v>4455</v>
      </c>
      <c r="R176" s="95">
        <f>N49</f>
        <v>98594</v>
      </c>
      <c r="T176" s="168" t="s">
        <v>4499</v>
      </c>
      <c r="U176" s="168">
        <v>8071</v>
      </c>
      <c r="V176" s="113">
        <v>247.797</v>
      </c>
      <c r="W176" s="113">
        <f t="shared" si="41"/>
        <v>1999969.5870000001</v>
      </c>
      <c r="X176" s="99" t="s">
        <v>4451</v>
      </c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9"/>
        <v>147</v>
      </c>
      <c r="AM176" s="99">
        <f t="shared" si="40"/>
        <v>1911000000</v>
      </c>
      <c r="AN176" s="99"/>
    </row>
    <row r="177" spans="16:45">
      <c r="Q177" s="99" t="s">
        <v>4456</v>
      </c>
      <c r="R177" s="95">
        <f>N20</f>
        <v>74259</v>
      </c>
      <c r="T177" s="168" t="s">
        <v>4499</v>
      </c>
      <c r="U177" s="168">
        <v>53672</v>
      </c>
      <c r="V177" s="113">
        <v>247.797</v>
      </c>
      <c r="W177" s="113">
        <f t="shared" si="41"/>
        <v>13299760.584000001</v>
      </c>
      <c r="X177" s="99" t="s">
        <v>452</v>
      </c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9"/>
        <v>145</v>
      </c>
      <c r="AM177" s="99">
        <f t="shared" si="40"/>
        <v>1450000000</v>
      </c>
      <c r="AN177" s="99"/>
    </row>
    <row r="178" spans="16:45">
      <c r="Q178" s="99" t="s">
        <v>4457</v>
      </c>
      <c r="R178" s="95">
        <f>N31</f>
        <v>96516</v>
      </c>
      <c r="T178" s="168" t="s">
        <v>4509</v>
      </c>
      <c r="U178" s="168">
        <v>4099</v>
      </c>
      <c r="V178" s="113">
        <v>243.93</v>
      </c>
      <c r="W178" s="113">
        <f t="shared" si="41"/>
        <v>999869.07000000007</v>
      </c>
      <c r="X178" s="99" t="s">
        <v>4451</v>
      </c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9"/>
        <v>142</v>
      </c>
      <c r="AM178" s="99">
        <f t="shared" si="40"/>
        <v>482800000</v>
      </c>
      <c r="AN178" s="99"/>
    </row>
    <row r="179" spans="16:45">
      <c r="P179" s="114"/>
      <c r="Q179" s="99" t="s">
        <v>4469</v>
      </c>
      <c r="R179" s="95">
        <v>0</v>
      </c>
      <c r="T179" s="168" t="s">
        <v>4509</v>
      </c>
      <c r="U179" s="168">
        <v>9301</v>
      </c>
      <c r="V179" s="113">
        <v>243.93</v>
      </c>
      <c r="W179" s="113">
        <f t="shared" si="41"/>
        <v>2268792.9300000002</v>
      </c>
      <c r="X179" s="99" t="s">
        <v>452</v>
      </c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133</v>
      </c>
      <c r="AM179" s="99">
        <f t="shared" si="40"/>
        <v>-1161956362</v>
      </c>
      <c r="AN179" s="99"/>
    </row>
    <row r="180" spans="16:45">
      <c r="Q180" s="99" t="s">
        <v>4913</v>
      </c>
      <c r="R180" s="95">
        <v>0</v>
      </c>
      <c r="T180" s="168" t="s">
        <v>4515</v>
      </c>
      <c r="U180" s="168">
        <v>8334</v>
      </c>
      <c r="V180" s="113">
        <v>239.97</v>
      </c>
      <c r="W180" s="113">
        <f t="shared" si="41"/>
        <v>1999909.98</v>
      </c>
      <c r="X180" s="99" t="s">
        <v>4451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2">AK180+AL181</f>
        <v>132</v>
      </c>
      <c r="AM180" s="99">
        <f t="shared" si="40"/>
        <v>73260000</v>
      </c>
      <c r="AN180" s="99"/>
    </row>
    <row r="181" spans="16:45">
      <c r="P181" s="114"/>
      <c r="Q181" s="99" t="s">
        <v>4748</v>
      </c>
      <c r="R181" s="95">
        <v>500000</v>
      </c>
      <c r="T181" s="168" t="s">
        <v>4231</v>
      </c>
      <c r="U181" s="168">
        <v>29041</v>
      </c>
      <c r="V181" s="113">
        <v>233.45</v>
      </c>
      <c r="W181" s="113">
        <f t="shared" si="41"/>
        <v>6779621.4499999993</v>
      </c>
      <c r="X181" s="99" t="s">
        <v>751</v>
      </c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2"/>
        <v>127</v>
      </c>
      <c r="AM181" s="99">
        <f t="shared" si="40"/>
        <v>-56935116</v>
      </c>
      <c r="AN181" s="99"/>
    </row>
    <row r="182" spans="16:45">
      <c r="P182" s="114"/>
      <c r="Q182" s="99" t="s">
        <v>4728</v>
      </c>
      <c r="R182" s="95">
        <v>-1036</v>
      </c>
      <c r="S182" s="115"/>
      <c r="T182" s="168" t="s">
        <v>994</v>
      </c>
      <c r="U182" s="168">
        <v>12337</v>
      </c>
      <c r="V182" s="113">
        <v>243.16300000000001</v>
      </c>
      <c r="W182" s="113">
        <f t="shared" si="41"/>
        <v>2999901.9310000003</v>
      </c>
      <c r="X182" s="99" t="s">
        <v>4451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2"/>
        <v>121</v>
      </c>
      <c r="AM182" s="99">
        <f t="shared" si="40"/>
        <v>4020225</v>
      </c>
      <c r="AN182" s="99"/>
      <c r="AR182" t="s">
        <v>25</v>
      </c>
    </row>
    <row r="183" spans="16:45">
      <c r="Q183" s="99" t="s">
        <v>4461</v>
      </c>
      <c r="R183" s="95">
        <f>SUM(R173:R182)</f>
        <v>857124807.30000007</v>
      </c>
      <c r="S183" s="122"/>
      <c r="T183" s="168" t="s">
        <v>4602</v>
      </c>
      <c r="U183" s="168">
        <v>-16118</v>
      </c>
      <c r="V183" s="113">
        <v>248.17</v>
      </c>
      <c r="W183" s="113">
        <f t="shared" si="41"/>
        <v>-4000004.0599999996</v>
      </c>
      <c r="X183" s="99" t="s">
        <v>751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2"/>
        <v>121</v>
      </c>
      <c r="AM183" s="149">
        <f t="shared" si="40"/>
        <v>495921283</v>
      </c>
      <c r="AN183" s="149" t="s">
        <v>657</v>
      </c>
    </row>
    <row r="184" spans="16:45">
      <c r="Q184" s="96"/>
      <c r="S184" s="115"/>
      <c r="T184" s="168" t="s">
        <v>4633</v>
      </c>
      <c r="U184" s="168">
        <v>101681</v>
      </c>
      <c r="V184" s="113">
        <v>246.5711</v>
      </c>
      <c r="W184" s="113">
        <f t="shared" si="41"/>
        <v>25071596.019099999</v>
      </c>
      <c r="X184" s="99" t="s">
        <v>452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2"/>
        <v>119</v>
      </c>
      <c r="AM184" s="149">
        <f t="shared" si="40"/>
        <v>-119000000</v>
      </c>
      <c r="AN184" s="149" t="s">
        <v>657</v>
      </c>
    </row>
    <row r="185" spans="16:45">
      <c r="Q185" s="96"/>
      <c r="R185" s="182"/>
      <c r="S185" s="115"/>
      <c r="T185" s="168" t="s">
        <v>4638</v>
      </c>
      <c r="U185" s="168">
        <v>66606</v>
      </c>
      <c r="V185" s="113">
        <v>251.131</v>
      </c>
      <c r="W185" s="113">
        <f t="shared" si="41"/>
        <v>16726831.386</v>
      </c>
      <c r="X185" s="99" t="s">
        <v>751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2"/>
        <v>112</v>
      </c>
      <c r="AM185" s="149">
        <f t="shared" si="40"/>
        <v>84000000</v>
      </c>
      <c r="AN185" s="149" t="s">
        <v>657</v>
      </c>
      <c r="AR185" s="99" t="s">
        <v>452</v>
      </c>
      <c r="AS185" s="113">
        <v>31412200</v>
      </c>
    </row>
    <row r="186" spans="16:45">
      <c r="Q186" s="96"/>
      <c r="R186" s="182"/>
      <c r="T186" s="168" t="s">
        <v>4645</v>
      </c>
      <c r="U186" s="168">
        <v>172025</v>
      </c>
      <c r="V186" s="113">
        <v>245.52809999999999</v>
      </c>
      <c r="W186" s="113">
        <f t="shared" si="41"/>
        <v>42236971.402499996</v>
      </c>
      <c r="X186" s="99" t="s">
        <v>452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2"/>
        <v>111</v>
      </c>
      <c r="AM186" s="196">
        <f t="shared" si="40"/>
        <v>-67060872</v>
      </c>
      <c r="AN186" s="196" t="s">
        <v>657</v>
      </c>
      <c r="AR186" s="99" t="s">
        <v>1087</v>
      </c>
      <c r="AS186" s="113">
        <v>433375</v>
      </c>
    </row>
    <row r="187" spans="16:45">
      <c r="Q187" s="96"/>
      <c r="R187" s="115"/>
      <c r="T187" s="168" t="s">
        <v>4645</v>
      </c>
      <c r="U187" s="168">
        <v>189227</v>
      </c>
      <c r="V187" s="113">
        <v>245.52809999999999</v>
      </c>
      <c r="W187" s="113">
        <f t="shared" si="41"/>
        <v>46460545.778700002</v>
      </c>
      <c r="X187" s="99" t="s">
        <v>751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2"/>
        <v>111</v>
      </c>
      <c r="AM187" s="99">
        <f t="shared" si="40"/>
        <v>-65166213</v>
      </c>
      <c r="AN187" s="99"/>
      <c r="AR187" s="99" t="s">
        <v>751</v>
      </c>
      <c r="AS187" s="113">
        <v>2060725</v>
      </c>
    </row>
    <row r="188" spans="16:45">
      <c r="T188" s="168" t="s">
        <v>4648</v>
      </c>
      <c r="U188" s="168">
        <v>79720</v>
      </c>
      <c r="V188" s="113">
        <v>246.6568</v>
      </c>
      <c r="W188" s="113">
        <f t="shared" si="41"/>
        <v>19663480.096000001</v>
      </c>
      <c r="X188" s="99" t="s">
        <v>452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2"/>
        <v>107</v>
      </c>
      <c r="AM188" s="196">
        <f t="shared" si="40"/>
        <v>-80715557</v>
      </c>
      <c r="AN188" s="196" t="s">
        <v>657</v>
      </c>
    </row>
    <row r="189" spans="16:45">
      <c r="Q189" s="99" t="s">
        <v>4451</v>
      </c>
      <c r="R189" s="99"/>
      <c r="T189" s="168" t="s">
        <v>4648</v>
      </c>
      <c r="U189" s="168">
        <v>79720</v>
      </c>
      <c r="V189" s="113">
        <v>246.6568</v>
      </c>
      <c r="W189" s="113">
        <f t="shared" si="41"/>
        <v>19663480.096000001</v>
      </c>
      <c r="X189" s="99" t="s">
        <v>751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2"/>
        <v>107</v>
      </c>
      <c r="AM189" s="99">
        <f t="shared" si="40"/>
        <v>-20289233</v>
      </c>
      <c r="AN189" s="99"/>
    </row>
    <row r="190" spans="16:45">
      <c r="Q190" s="36" t="s">
        <v>180</v>
      </c>
      <c r="R190" s="99" t="s">
        <v>267</v>
      </c>
      <c r="T190" s="168" t="s">
        <v>4675</v>
      </c>
      <c r="U190" s="168">
        <v>17769</v>
      </c>
      <c r="V190" s="113">
        <v>246.17877999999999</v>
      </c>
      <c r="W190" s="113">
        <f t="shared" si="41"/>
        <v>4374350.7418200001</v>
      </c>
      <c r="X190" s="99" t="s">
        <v>751</v>
      </c>
      <c r="AH190" s="196">
        <v>23</v>
      </c>
      <c r="AI190" s="196" t="s">
        <v>4519</v>
      </c>
      <c r="AJ190" s="189">
        <v>7100</v>
      </c>
      <c r="AK190" s="196">
        <v>0</v>
      </c>
      <c r="AL190" s="149">
        <f t="shared" si="42"/>
        <v>92</v>
      </c>
      <c r="AM190" s="196">
        <f t="shared" si="40"/>
        <v>653200</v>
      </c>
      <c r="AN190" s="196" t="s">
        <v>657</v>
      </c>
    </row>
    <row r="191" spans="16:45">
      <c r="Q191" s="99" t="s">
        <v>4444</v>
      </c>
      <c r="R191" s="95">
        <v>3000000</v>
      </c>
      <c r="T191" s="168" t="s">
        <v>4675</v>
      </c>
      <c r="U191" s="168">
        <v>17769</v>
      </c>
      <c r="V191" s="113">
        <v>246.17877999999999</v>
      </c>
      <c r="W191" s="113">
        <f t="shared" si="41"/>
        <v>4374350.7418200001</v>
      </c>
      <c r="X191" s="99" t="s">
        <v>452</v>
      </c>
      <c r="Y191" t="s">
        <v>25</v>
      </c>
      <c r="AH191" s="20">
        <v>24</v>
      </c>
      <c r="AI191" s="20" t="s">
        <v>4519</v>
      </c>
      <c r="AJ191" s="117">
        <v>-147902</v>
      </c>
      <c r="AK191" s="20">
        <v>3</v>
      </c>
      <c r="AL191" s="99">
        <f t="shared" si="42"/>
        <v>92</v>
      </c>
      <c r="AM191" s="20">
        <f t="shared" si="40"/>
        <v>-13606984</v>
      </c>
      <c r="AN191" s="20"/>
    </row>
    <row r="192" spans="16:45">
      <c r="Q192" s="99" t="s">
        <v>4499</v>
      </c>
      <c r="R192" s="95">
        <v>2000000</v>
      </c>
      <c r="T192" s="168" t="s">
        <v>4681</v>
      </c>
      <c r="U192" s="168">
        <v>12438</v>
      </c>
      <c r="V192" s="113">
        <v>241.20465999999999</v>
      </c>
      <c r="W192" s="113">
        <f t="shared" si="41"/>
        <v>3000103.5610799999</v>
      </c>
      <c r="X192" s="99" t="s">
        <v>4451</v>
      </c>
      <c r="AH192" s="149">
        <v>25</v>
      </c>
      <c r="AI192" s="149" t="s">
        <v>4527</v>
      </c>
      <c r="AJ192" s="189">
        <v>-37200</v>
      </c>
      <c r="AK192" s="149">
        <v>4</v>
      </c>
      <c r="AL192" s="149">
        <f t="shared" si="42"/>
        <v>89</v>
      </c>
      <c r="AM192" s="196">
        <f t="shared" si="40"/>
        <v>-3310800</v>
      </c>
      <c r="AN192" s="149" t="s">
        <v>657</v>
      </c>
    </row>
    <row r="193" spans="17:44">
      <c r="Q193" s="99" t="s">
        <v>4509</v>
      </c>
      <c r="R193" s="95">
        <v>1000000</v>
      </c>
      <c r="T193" s="168" t="s">
        <v>4691</v>
      </c>
      <c r="U193" s="168">
        <v>27363</v>
      </c>
      <c r="V193" s="113">
        <v>239.3886</v>
      </c>
      <c r="W193" s="113">
        <f t="shared" si="41"/>
        <v>6550390.2617999995</v>
      </c>
      <c r="X193" s="99" t="s">
        <v>751</v>
      </c>
      <c r="AH193" s="99">
        <v>26</v>
      </c>
      <c r="AI193" s="99" t="s">
        <v>4559</v>
      </c>
      <c r="AJ193" s="117">
        <v>-372326</v>
      </c>
      <c r="AK193" s="99">
        <v>21</v>
      </c>
      <c r="AL193" s="99">
        <f t="shared" si="42"/>
        <v>85</v>
      </c>
      <c r="AM193" s="20">
        <f t="shared" si="40"/>
        <v>-31647710</v>
      </c>
      <c r="AN193" s="99"/>
    </row>
    <row r="194" spans="17:44">
      <c r="Q194" s="99" t="s">
        <v>4515</v>
      </c>
      <c r="R194" s="95">
        <v>2000000</v>
      </c>
      <c r="T194" s="168" t="s">
        <v>4691</v>
      </c>
      <c r="U194" s="168">
        <v>27363</v>
      </c>
      <c r="V194" s="113">
        <v>239.3886</v>
      </c>
      <c r="W194" s="113">
        <f t="shared" si="41"/>
        <v>6550390.2617999995</v>
      </c>
      <c r="X194" s="99" t="s">
        <v>452</v>
      </c>
      <c r="AH194" s="99">
        <v>27</v>
      </c>
      <c r="AI194" s="99" t="s">
        <v>4618</v>
      </c>
      <c r="AJ194" s="117">
        <v>235062</v>
      </c>
      <c r="AK194" s="99">
        <v>0</v>
      </c>
      <c r="AL194" s="99">
        <f t="shared" si="42"/>
        <v>64</v>
      </c>
      <c r="AM194" s="20">
        <f t="shared" si="40"/>
        <v>15043968</v>
      </c>
      <c r="AN194" s="99"/>
    </row>
    <row r="195" spans="17:44">
      <c r="Q195" s="99" t="s">
        <v>994</v>
      </c>
      <c r="R195" s="95">
        <v>3000000</v>
      </c>
      <c r="T195" s="214" t="s">
        <v>4695</v>
      </c>
      <c r="U195" s="214">
        <v>27437</v>
      </c>
      <c r="V195" s="113">
        <v>242.4015</v>
      </c>
      <c r="W195" s="113">
        <f t="shared" si="41"/>
        <v>6650769.9555000002</v>
      </c>
      <c r="X195" s="99" t="s">
        <v>751</v>
      </c>
      <c r="AH195" s="149">
        <v>28</v>
      </c>
      <c r="AI195" s="149" t="s">
        <v>4618</v>
      </c>
      <c r="AJ195" s="189">
        <v>235062</v>
      </c>
      <c r="AK195" s="149">
        <v>9</v>
      </c>
      <c r="AL195" s="99">
        <f t="shared" si="42"/>
        <v>64</v>
      </c>
      <c r="AM195" s="149">
        <f t="shared" si="40"/>
        <v>15043968</v>
      </c>
      <c r="AN195" s="149" t="s">
        <v>657</v>
      </c>
    </row>
    <row r="196" spans="17:44">
      <c r="Q196" s="99" t="s">
        <v>4681</v>
      </c>
      <c r="R196" s="95">
        <v>3000000</v>
      </c>
      <c r="T196" s="214" t="s">
        <v>4695</v>
      </c>
      <c r="U196" s="214">
        <v>29104</v>
      </c>
      <c r="V196" s="113">
        <v>242.4015</v>
      </c>
      <c r="W196" s="113">
        <f t="shared" si="41"/>
        <v>7054853.2560000001</v>
      </c>
      <c r="X196" s="99" t="s">
        <v>452</v>
      </c>
      <c r="AH196" s="149">
        <v>29</v>
      </c>
      <c r="AI196" s="149" t="s">
        <v>4648</v>
      </c>
      <c r="AJ196" s="189">
        <v>450000</v>
      </c>
      <c r="AK196" s="149">
        <v>0</v>
      </c>
      <c r="AL196" s="99">
        <f t="shared" si="42"/>
        <v>55</v>
      </c>
      <c r="AM196" s="149">
        <f t="shared" si="40"/>
        <v>24750000</v>
      </c>
      <c r="AN196" s="149" t="s">
        <v>657</v>
      </c>
    </row>
    <row r="197" spans="17:44">
      <c r="Q197" s="99"/>
      <c r="R197" s="95"/>
      <c r="T197" s="217" t="s">
        <v>4732</v>
      </c>
      <c r="U197" s="217">
        <v>8991</v>
      </c>
      <c r="V197" s="113">
        <v>238.64867000000001</v>
      </c>
      <c r="W197" s="113">
        <f t="shared" si="41"/>
        <v>2145690.19197</v>
      </c>
      <c r="X197" s="99" t="s">
        <v>751</v>
      </c>
      <c r="AH197" s="20">
        <v>30</v>
      </c>
      <c r="AI197" s="20" t="s">
        <v>4648</v>
      </c>
      <c r="AJ197" s="117">
        <v>450000</v>
      </c>
      <c r="AK197" s="20">
        <v>22</v>
      </c>
      <c r="AL197" s="99">
        <f>AK197+AL198</f>
        <v>55</v>
      </c>
      <c r="AM197" s="20">
        <f t="shared" si="40"/>
        <v>24750000</v>
      </c>
      <c r="AN197" s="20"/>
    </row>
    <row r="198" spans="17:44">
      <c r="Q198" s="99"/>
      <c r="R198" s="95"/>
      <c r="T198" s="217" t="s">
        <v>4732</v>
      </c>
      <c r="U198" s="217">
        <v>8991</v>
      </c>
      <c r="V198" s="113">
        <v>238.64867000000001</v>
      </c>
      <c r="W198" s="113">
        <f t="shared" si="41"/>
        <v>2145690.19197</v>
      </c>
      <c r="X198" s="99" t="s">
        <v>452</v>
      </c>
      <c r="AH198" s="149">
        <v>31</v>
      </c>
      <c r="AI198" s="149" t="s">
        <v>4752</v>
      </c>
      <c r="AJ198" s="189">
        <v>300000</v>
      </c>
      <c r="AK198" s="149">
        <v>0</v>
      </c>
      <c r="AL198" s="149">
        <f t="shared" ref="AL198:AL216" si="43">AK198+AL199</f>
        <v>33</v>
      </c>
      <c r="AM198" s="149">
        <f t="shared" ref="AM198:AM201" si="44">AJ198*AL198</f>
        <v>9900000</v>
      </c>
      <c r="AN198" s="149"/>
    </row>
    <row r="199" spans="17:44" ht="30">
      <c r="Q199" s="99"/>
      <c r="R199" s="95">
        <f>SUM(R191:R197)</f>
        <v>14000000</v>
      </c>
      <c r="T199" s="217" t="s">
        <v>4747</v>
      </c>
      <c r="U199" s="217">
        <v>18170</v>
      </c>
      <c r="V199" s="113">
        <v>240.48475999999999</v>
      </c>
      <c r="W199" s="113">
        <f t="shared" si="41"/>
        <v>4369608.0892000003</v>
      </c>
      <c r="X199" s="99" t="s">
        <v>751</v>
      </c>
      <c r="AH199" s="121">
        <v>32</v>
      </c>
      <c r="AI199" s="121" t="s">
        <v>4752</v>
      </c>
      <c r="AJ199" s="79">
        <v>288936</v>
      </c>
      <c r="AK199" s="121">
        <v>3</v>
      </c>
      <c r="AL199" s="121">
        <f t="shared" si="43"/>
        <v>33</v>
      </c>
      <c r="AM199" s="121">
        <f t="shared" si="44"/>
        <v>9534888</v>
      </c>
      <c r="AN199" s="209" t="s">
        <v>4765</v>
      </c>
      <c r="AQ199" t="s">
        <v>25</v>
      </c>
    </row>
    <row r="200" spans="17:44">
      <c r="Q200" s="99"/>
      <c r="R200" s="99" t="s">
        <v>6</v>
      </c>
      <c r="S200" t="s">
        <v>25</v>
      </c>
      <c r="T200" s="217" t="s">
        <v>4747</v>
      </c>
      <c r="U200" s="217">
        <v>18170</v>
      </c>
      <c r="V200" s="113">
        <v>240.48475999999999</v>
      </c>
      <c r="W200" s="113">
        <f t="shared" si="41"/>
        <v>4369608.0892000003</v>
      </c>
      <c r="X200" s="99" t="s">
        <v>452</v>
      </c>
      <c r="AH200" s="121">
        <v>33</v>
      </c>
      <c r="AI200" s="121" t="s">
        <v>4763</v>
      </c>
      <c r="AJ200" s="79">
        <v>17962491</v>
      </c>
      <c r="AK200" s="121">
        <v>1</v>
      </c>
      <c r="AL200" s="121">
        <f t="shared" si="43"/>
        <v>30</v>
      </c>
      <c r="AM200" s="121">
        <f t="shared" si="44"/>
        <v>538874730</v>
      </c>
      <c r="AN200" s="121" t="s">
        <v>4770</v>
      </c>
    </row>
    <row r="201" spans="17:44">
      <c r="T201" s="217" t="s">
        <v>4752</v>
      </c>
      <c r="U201" s="217">
        <v>36797</v>
      </c>
      <c r="V201" s="113">
        <v>239.0822</v>
      </c>
      <c r="W201" s="113">
        <f t="shared" si="41"/>
        <v>8797507.7134000007</v>
      </c>
      <c r="X201" s="99" t="s">
        <v>751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43"/>
        <v>29</v>
      </c>
      <c r="AM201" s="121">
        <f t="shared" si="44"/>
        <v>532541819</v>
      </c>
      <c r="AN201" s="121" t="s">
        <v>4770</v>
      </c>
    </row>
    <row r="202" spans="17:44">
      <c r="Q202" s="96"/>
      <c r="R202" s="96"/>
      <c r="T202" s="217" t="s">
        <v>4752</v>
      </c>
      <c r="U202" s="217">
        <v>36797</v>
      </c>
      <c r="V202" s="113">
        <v>239.0822</v>
      </c>
      <c r="W202" s="113">
        <f t="shared" si="41"/>
        <v>8797507.7134000007</v>
      </c>
      <c r="X202" s="99" t="s">
        <v>452</v>
      </c>
      <c r="AH202" s="121">
        <v>35</v>
      </c>
      <c r="AI202" s="121" t="s">
        <v>4776</v>
      </c>
      <c r="AJ202" s="79">
        <v>23622417</v>
      </c>
      <c r="AK202" s="121">
        <v>5</v>
      </c>
      <c r="AL202" s="121">
        <f t="shared" si="43"/>
        <v>28</v>
      </c>
      <c r="AM202" s="121">
        <f t="shared" ref="AM202:AM217" si="45">AJ202*AL202</f>
        <v>661427676</v>
      </c>
      <c r="AN202" s="121" t="s">
        <v>4785</v>
      </c>
      <c r="AR202" t="s">
        <v>25</v>
      </c>
    </row>
    <row r="203" spans="17:44">
      <c r="Q203" s="96"/>
      <c r="R203" s="96"/>
      <c r="T203" s="217" t="s">
        <v>4763</v>
      </c>
      <c r="U203" s="217">
        <v>28066</v>
      </c>
      <c r="V203" s="113">
        <v>237.56970000000001</v>
      </c>
      <c r="W203" s="113">
        <f t="shared" si="41"/>
        <v>6667631.2002000008</v>
      </c>
      <c r="X203" s="99" t="s">
        <v>751</v>
      </c>
      <c r="AH203" s="121">
        <v>36</v>
      </c>
      <c r="AI203" s="121" t="s">
        <v>4802</v>
      </c>
      <c r="AJ203" s="79">
        <v>82496108</v>
      </c>
      <c r="AK203" s="121">
        <v>1</v>
      </c>
      <c r="AL203" s="121">
        <f t="shared" si="43"/>
        <v>23</v>
      </c>
      <c r="AM203" s="121">
        <f t="shared" si="45"/>
        <v>1897410484</v>
      </c>
      <c r="AN203" s="121" t="s">
        <v>4805</v>
      </c>
    </row>
    <row r="204" spans="17:44">
      <c r="T204" s="217" t="s">
        <v>4763</v>
      </c>
      <c r="U204" s="217">
        <v>28066</v>
      </c>
      <c r="V204" s="113">
        <v>237.56970000000001</v>
      </c>
      <c r="W204" s="113">
        <f t="shared" si="41"/>
        <v>6667631.2002000008</v>
      </c>
      <c r="X204" s="99" t="s">
        <v>452</v>
      </c>
      <c r="AH204" s="121">
        <v>37</v>
      </c>
      <c r="AI204" s="121" t="s">
        <v>4804</v>
      </c>
      <c r="AJ204" s="79">
        <v>74657561</v>
      </c>
      <c r="AK204" s="121">
        <v>16</v>
      </c>
      <c r="AL204" s="121">
        <f t="shared" si="43"/>
        <v>22</v>
      </c>
      <c r="AM204" s="121">
        <f t="shared" si="45"/>
        <v>1642466342</v>
      </c>
      <c r="AN204" s="121" t="s">
        <v>4813</v>
      </c>
    </row>
    <row r="205" spans="17:44">
      <c r="Q205" s="99" t="s">
        <v>751</v>
      </c>
      <c r="R205" s="99"/>
      <c r="T205" s="217" t="s">
        <v>3684</v>
      </c>
      <c r="U205" s="217">
        <v>37457</v>
      </c>
      <c r="V205" s="113">
        <v>239.77</v>
      </c>
      <c r="W205" s="113">
        <f t="shared" si="41"/>
        <v>8981064.8900000006</v>
      </c>
      <c r="X205" s="99" t="s">
        <v>751</v>
      </c>
      <c r="AH205" s="99">
        <v>38</v>
      </c>
      <c r="AI205" s="99" t="s">
        <v>4905</v>
      </c>
      <c r="AJ205" s="117">
        <v>665000</v>
      </c>
      <c r="AK205" s="99">
        <v>0</v>
      </c>
      <c r="AL205" s="99">
        <f t="shared" si="43"/>
        <v>6</v>
      </c>
      <c r="AM205" s="20">
        <f t="shared" si="45"/>
        <v>3990000</v>
      </c>
      <c r="AN205" s="99"/>
      <c r="AR205" t="s">
        <v>25</v>
      </c>
    </row>
    <row r="206" spans="17:44">
      <c r="Q206" s="99" t="s">
        <v>4444</v>
      </c>
      <c r="R206" s="95">
        <v>172908000</v>
      </c>
      <c r="T206" s="217" t="s">
        <v>3684</v>
      </c>
      <c r="U206" s="217">
        <v>37457</v>
      </c>
      <c r="V206" s="113">
        <v>239.77</v>
      </c>
      <c r="W206" s="113">
        <f t="shared" si="41"/>
        <v>8981064.8900000006</v>
      </c>
      <c r="X206" s="99" t="s">
        <v>452</v>
      </c>
      <c r="AH206" s="149">
        <v>39</v>
      </c>
      <c r="AI206" s="149" t="s">
        <v>4905</v>
      </c>
      <c r="AJ206" s="189">
        <v>665000</v>
      </c>
      <c r="AK206" s="149">
        <v>4</v>
      </c>
      <c r="AL206" s="196">
        <f t="shared" si="43"/>
        <v>6</v>
      </c>
      <c r="AM206" s="196">
        <f t="shared" ref="AM206:AM207" si="46">AJ206*AL206</f>
        <v>3990000</v>
      </c>
      <c r="AN206" s="196"/>
    </row>
    <row r="207" spans="17:44">
      <c r="Q207" s="99" t="s">
        <v>4485</v>
      </c>
      <c r="R207" s="95">
        <v>1400000</v>
      </c>
      <c r="T207" s="217" t="s">
        <v>4776</v>
      </c>
      <c r="U207" s="217">
        <v>38412</v>
      </c>
      <c r="V207" s="113">
        <v>239.03</v>
      </c>
      <c r="W207" s="113">
        <f t="shared" si="41"/>
        <v>9181620.3599999994</v>
      </c>
      <c r="X207" s="99" t="s">
        <v>751</v>
      </c>
      <c r="AH207" s="20">
        <v>40</v>
      </c>
      <c r="AI207" s="20" t="s">
        <v>4937</v>
      </c>
      <c r="AJ207" s="117">
        <v>2000000</v>
      </c>
      <c r="AK207" s="20">
        <v>1</v>
      </c>
      <c r="AL207" s="99">
        <f t="shared" si="43"/>
        <v>2</v>
      </c>
      <c r="AM207" s="20">
        <f t="shared" si="46"/>
        <v>4000000</v>
      </c>
      <c r="AN207" s="99"/>
    </row>
    <row r="208" spans="17:44">
      <c r="Q208" s="99" t="s">
        <v>4232</v>
      </c>
      <c r="R208" s="95">
        <v>247393</v>
      </c>
      <c r="T208" s="217" t="s">
        <v>4776</v>
      </c>
      <c r="U208" s="217">
        <v>38412</v>
      </c>
      <c r="V208" s="113">
        <v>239.03</v>
      </c>
      <c r="W208" s="113">
        <f t="shared" si="41"/>
        <v>9181620.3599999994</v>
      </c>
      <c r="X208" s="99" t="s">
        <v>452</v>
      </c>
      <c r="AH208" s="20">
        <v>41</v>
      </c>
      <c r="AI208" s="20" t="s">
        <v>4946</v>
      </c>
      <c r="AJ208" s="117">
        <v>-2060725</v>
      </c>
      <c r="AK208" s="20">
        <v>0</v>
      </c>
      <c r="AL208" s="99">
        <f t="shared" si="43"/>
        <v>1</v>
      </c>
      <c r="AM208" s="20">
        <f t="shared" ref="AM208:AM216" si="47">AJ208*AL208</f>
        <v>-2060725</v>
      </c>
      <c r="AN208" s="99" t="s">
        <v>4950</v>
      </c>
    </row>
    <row r="209" spans="17:45">
      <c r="Q209" s="99" t="s">
        <v>4231</v>
      </c>
      <c r="R209" s="95">
        <v>6780000</v>
      </c>
      <c r="T209" s="217" t="s">
        <v>4786</v>
      </c>
      <c r="U209" s="217">
        <v>49555</v>
      </c>
      <c r="V209" s="113">
        <v>238.345</v>
      </c>
      <c r="W209" s="113">
        <f t="shared" si="41"/>
        <v>11811186.475</v>
      </c>
      <c r="X209" s="99" t="s">
        <v>751</v>
      </c>
      <c r="AH209" s="20">
        <v>42</v>
      </c>
      <c r="AI209" s="20" t="s">
        <v>4946</v>
      </c>
      <c r="AJ209" s="117">
        <v>-433375</v>
      </c>
      <c r="AK209" s="20">
        <v>1</v>
      </c>
      <c r="AL209" s="99">
        <f t="shared" si="43"/>
        <v>1</v>
      </c>
      <c r="AM209" s="20">
        <f t="shared" si="47"/>
        <v>-433375</v>
      </c>
      <c r="AN209" s="99" t="s">
        <v>4951</v>
      </c>
      <c r="AP209" t="s">
        <v>25</v>
      </c>
    </row>
    <row r="210" spans="17:45">
      <c r="Q210" s="99" t="s">
        <v>4602</v>
      </c>
      <c r="R210" s="95">
        <v>-4000000</v>
      </c>
      <c r="T210" s="217" t="s">
        <v>4786</v>
      </c>
      <c r="U210" s="217">
        <v>49555</v>
      </c>
      <c r="V210" s="113">
        <v>238.345</v>
      </c>
      <c r="W210" s="113">
        <f t="shared" si="41"/>
        <v>11811186.475</v>
      </c>
      <c r="X210" s="99" t="s">
        <v>452</v>
      </c>
      <c r="Z210" t="s">
        <v>25</v>
      </c>
      <c r="AH210" s="20"/>
      <c r="AI210" s="20"/>
      <c r="AJ210" s="117"/>
      <c r="AK210" s="20"/>
      <c r="AL210" s="99">
        <f t="shared" si="43"/>
        <v>0</v>
      </c>
      <c r="AM210" s="20">
        <f t="shared" si="47"/>
        <v>0</v>
      </c>
      <c r="AN210" s="99"/>
    </row>
    <row r="211" spans="17:45">
      <c r="Q211" s="99" t="s">
        <v>4638</v>
      </c>
      <c r="R211" s="95">
        <v>16727037</v>
      </c>
      <c r="T211" s="217" t="s">
        <v>4804</v>
      </c>
      <c r="U211" s="217">
        <v>160187</v>
      </c>
      <c r="V211" s="113">
        <v>257.49799999999999</v>
      </c>
      <c r="W211" s="113">
        <f t="shared" si="41"/>
        <v>41247832.126000002</v>
      </c>
      <c r="X211" s="99" t="s">
        <v>751</v>
      </c>
      <c r="AH211" s="20"/>
      <c r="AI211" s="20"/>
      <c r="AJ211" s="117"/>
      <c r="AK211" s="20"/>
      <c r="AL211" s="99">
        <f t="shared" si="43"/>
        <v>0</v>
      </c>
      <c r="AM211" s="20">
        <f t="shared" si="47"/>
        <v>0</v>
      </c>
      <c r="AN211" s="99"/>
      <c r="AR211" t="s">
        <v>25</v>
      </c>
    </row>
    <row r="212" spans="17:45">
      <c r="Q212" s="99" t="s">
        <v>4645</v>
      </c>
      <c r="R212" s="95">
        <v>46460683</v>
      </c>
      <c r="T212" s="217" t="s">
        <v>4804</v>
      </c>
      <c r="U212" s="217">
        <v>160187</v>
      </c>
      <c r="V212" s="113">
        <v>257.49799999999999</v>
      </c>
      <c r="W212" s="113">
        <f t="shared" si="41"/>
        <v>41247832.126000002</v>
      </c>
      <c r="X212" s="99" t="s">
        <v>452</v>
      </c>
      <c r="AH212" s="20"/>
      <c r="AI212" s="20"/>
      <c r="AJ212" s="117"/>
      <c r="AK212" s="20"/>
      <c r="AL212" s="99">
        <f t="shared" si="43"/>
        <v>0</v>
      </c>
      <c r="AM212" s="20">
        <f t="shared" si="47"/>
        <v>0</v>
      </c>
      <c r="AN212" s="99"/>
      <c r="AQ212" t="s">
        <v>25</v>
      </c>
    </row>
    <row r="213" spans="17:45">
      <c r="Q213" s="99" t="s">
        <v>4648</v>
      </c>
      <c r="R213" s="95">
        <v>19663646</v>
      </c>
      <c r="S213" t="s">
        <v>25</v>
      </c>
      <c r="T213" s="217" t="s">
        <v>4814</v>
      </c>
      <c r="U213" s="217">
        <v>144401</v>
      </c>
      <c r="V213" s="113">
        <v>258.5061</v>
      </c>
      <c r="W213" s="113">
        <f t="shared" si="41"/>
        <v>37328539.346100003</v>
      </c>
      <c r="X213" s="99" t="s">
        <v>751</v>
      </c>
      <c r="AH213" s="20"/>
      <c r="AI213" s="20"/>
      <c r="AJ213" s="117"/>
      <c r="AK213" s="20"/>
      <c r="AL213" s="99">
        <f t="shared" si="43"/>
        <v>0</v>
      </c>
      <c r="AM213" s="20">
        <f t="shared" si="47"/>
        <v>0</v>
      </c>
      <c r="AN213" s="99"/>
    </row>
    <row r="214" spans="17:45">
      <c r="Q214" s="99" t="s">
        <v>4675</v>
      </c>
      <c r="R214" s="95">
        <v>4374525</v>
      </c>
      <c r="T214" s="217" t="s">
        <v>4814</v>
      </c>
      <c r="U214" s="217">
        <v>144401</v>
      </c>
      <c r="V214" s="113">
        <v>258.5061</v>
      </c>
      <c r="W214" s="113">
        <f t="shared" si="41"/>
        <v>37328539.346100003</v>
      </c>
      <c r="X214" s="99" t="s">
        <v>452</v>
      </c>
      <c r="AH214" s="20"/>
      <c r="AI214" s="20"/>
      <c r="AJ214" s="117"/>
      <c r="AK214" s="20"/>
      <c r="AL214" s="99">
        <f t="shared" si="43"/>
        <v>0</v>
      </c>
      <c r="AM214" s="20">
        <f t="shared" si="47"/>
        <v>0</v>
      </c>
      <c r="AN214" s="99"/>
    </row>
    <row r="215" spans="17:45">
      <c r="Q215" s="99" t="s">
        <v>4691</v>
      </c>
      <c r="R215" s="95">
        <v>6550580</v>
      </c>
      <c r="T215" s="168" t="s">
        <v>4824</v>
      </c>
      <c r="U215" s="168">
        <v>196500</v>
      </c>
      <c r="V215" s="113">
        <v>254.452</v>
      </c>
      <c r="W215" s="113">
        <f t="shared" si="41"/>
        <v>49999818</v>
      </c>
      <c r="X215" s="99" t="s">
        <v>4832</v>
      </c>
      <c r="AH215" s="20"/>
      <c r="AI215" s="20"/>
      <c r="AJ215" s="117"/>
      <c r="AK215" s="20"/>
      <c r="AL215" s="99">
        <f t="shared" si="43"/>
        <v>0</v>
      </c>
      <c r="AM215" s="20">
        <f t="shared" si="47"/>
        <v>0</v>
      </c>
      <c r="AN215" s="99"/>
    </row>
    <row r="216" spans="17:45">
      <c r="Q216" s="99" t="s">
        <v>4695</v>
      </c>
      <c r="R216" s="95">
        <v>6650895</v>
      </c>
      <c r="T216" s="217" t="s">
        <v>4824</v>
      </c>
      <c r="U216" s="217">
        <v>2561</v>
      </c>
      <c r="V216" s="113">
        <v>254.536</v>
      </c>
      <c r="W216" s="113">
        <f t="shared" si="41"/>
        <v>651866.696</v>
      </c>
      <c r="X216" s="99" t="s">
        <v>4833</v>
      </c>
      <c r="AH216" s="99"/>
      <c r="AI216" s="99"/>
      <c r="AJ216" s="117"/>
      <c r="AK216" s="99"/>
      <c r="AL216" s="99">
        <f t="shared" si="43"/>
        <v>0</v>
      </c>
      <c r="AM216" s="20">
        <f t="shared" si="47"/>
        <v>0</v>
      </c>
      <c r="AN216" s="99"/>
      <c r="AS216" t="s">
        <v>25</v>
      </c>
    </row>
    <row r="217" spans="17:45">
      <c r="Q217" s="99" t="s">
        <v>4732</v>
      </c>
      <c r="R217" s="95">
        <v>2145814</v>
      </c>
      <c r="S217" t="s">
        <v>25</v>
      </c>
      <c r="T217" s="217" t="s">
        <v>4885</v>
      </c>
      <c r="U217" s="217">
        <v>-11795</v>
      </c>
      <c r="V217" s="113">
        <v>254.334</v>
      </c>
      <c r="W217" s="113">
        <f t="shared" si="41"/>
        <v>-2999869.5300000003</v>
      </c>
      <c r="X217" s="99" t="s">
        <v>4887</v>
      </c>
      <c r="AH217" s="99"/>
      <c r="AI217" s="99"/>
      <c r="AJ217" s="117"/>
      <c r="AK217" s="99"/>
      <c r="AL217" s="99">
        <f t="shared" ref="AL217" si="48">AK217+AL220</f>
        <v>0</v>
      </c>
      <c r="AM217" s="99">
        <f t="shared" si="45"/>
        <v>0</v>
      </c>
      <c r="AN217" s="99"/>
    </row>
    <row r="218" spans="17:45">
      <c r="Q218" s="99" t="s">
        <v>4747</v>
      </c>
      <c r="R218" s="95">
        <v>4369730</v>
      </c>
      <c r="T218" s="217" t="s">
        <v>4885</v>
      </c>
      <c r="U218" s="217">
        <v>11795</v>
      </c>
      <c r="V218" s="113">
        <v>254.334</v>
      </c>
      <c r="W218" s="113">
        <f t="shared" si="41"/>
        <v>2999869.5300000003</v>
      </c>
      <c r="X218" s="99" t="s">
        <v>4888</v>
      </c>
      <c r="AH218" s="99"/>
      <c r="AI218" s="99"/>
      <c r="AJ218" s="95">
        <f>SUM(AJ168:AJ217)</f>
        <v>247417098</v>
      </c>
      <c r="AK218" s="99"/>
      <c r="AL218" s="99"/>
      <c r="AM218" s="99">
        <f>SUM(AM168:AM217)</f>
        <v>10109666299</v>
      </c>
      <c r="AN218" s="95">
        <f>AM218*AN154/31</f>
        <v>5435413.1679171938</v>
      </c>
    </row>
    <row r="219" spans="17:45">
      <c r="Q219" s="99" t="s">
        <v>4752</v>
      </c>
      <c r="R219" s="95">
        <v>8739459</v>
      </c>
      <c r="T219" s="217" t="s">
        <v>4905</v>
      </c>
      <c r="U219" s="217">
        <v>260</v>
      </c>
      <c r="V219" s="113">
        <v>263.19</v>
      </c>
      <c r="W219" s="113">
        <f t="shared" si="41"/>
        <v>68429.399999999994</v>
      </c>
      <c r="X219" s="99" t="s">
        <v>452</v>
      </c>
      <c r="AJ219" t="s">
        <v>4059</v>
      </c>
      <c r="AM219" t="s">
        <v>284</v>
      </c>
      <c r="AN219" t="s">
        <v>943</v>
      </c>
    </row>
    <row r="220" spans="17:45">
      <c r="Q220" s="99" t="s">
        <v>4763</v>
      </c>
      <c r="R220" s="95">
        <v>6667654</v>
      </c>
      <c r="T220" s="217" t="s">
        <v>4937</v>
      </c>
      <c r="U220" s="217">
        <v>15257</v>
      </c>
      <c r="V220" s="113">
        <v>262.19018</v>
      </c>
      <c r="W220" s="113">
        <f t="shared" si="41"/>
        <v>4000235.57626</v>
      </c>
      <c r="X220" s="99" t="s">
        <v>452</v>
      </c>
      <c r="Y220" t="s">
        <v>25</v>
      </c>
    </row>
    <row r="221" spans="17:45">
      <c r="Q221" s="99" t="s">
        <v>4771</v>
      </c>
      <c r="R221" s="95">
        <v>8981245</v>
      </c>
      <c r="T221" s="217" t="s">
        <v>4937</v>
      </c>
      <c r="U221" s="217">
        <v>8444</v>
      </c>
      <c r="V221" s="113">
        <v>266.43029999999999</v>
      </c>
      <c r="W221" s="113">
        <f t="shared" si="41"/>
        <v>2249737.4531999999</v>
      </c>
      <c r="X221" s="99" t="s">
        <v>452</v>
      </c>
      <c r="AI221" t="s">
        <v>4061</v>
      </c>
      <c r="AJ221" s="114">
        <f>AJ218+AN218</f>
        <v>252852511.16791719</v>
      </c>
    </row>
    <row r="222" spans="17:45">
      <c r="Q222" s="99" t="s">
        <v>4776</v>
      </c>
      <c r="R222" s="95">
        <v>9181756</v>
      </c>
      <c r="T222" s="217"/>
      <c r="U222" s="217"/>
      <c r="V222" s="113"/>
      <c r="W222" s="113"/>
      <c r="X222" s="99"/>
      <c r="Y222" s="96"/>
      <c r="AI222" t="s">
        <v>4064</v>
      </c>
      <c r="AJ222" s="114">
        <f>SUM(N20:N38)</f>
        <v>269876040.80000007</v>
      </c>
    </row>
    <row r="223" spans="17:45">
      <c r="Q223" s="99" t="s">
        <v>4786</v>
      </c>
      <c r="R223" s="95">
        <v>11811208</v>
      </c>
      <c r="T223" s="217" t="s">
        <v>25</v>
      </c>
      <c r="U223" s="217"/>
      <c r="V223" s="113"/>
      <c r="W223" s="113"/>
      <c r="X223" s="99"/>
      <c r="AI223" t="s">
        <v>4136</v>
      </c>
      <c r="AJ223" s="114">
        <f>AJ222-AJ218</f>
        <v>22458942.800000072</v>
      </c>
    </row>
    <row r="224" spans="17:45">
      <c r="Q224" s="99" t="s">
        <v>4804</v>
      </c>
      <c r="R224" s="95">
        <v>41248054</v>
      </c>
      <c r="S224" t="s">
        <v>25</v>
      </c>
      <c r="T224" s="168"/>
      <c r="U224" s="168"/>
      <c r="V224" s="113"/>
      <c r="W224" s="113"/>
      <c r="X224" s="99"/>
      <c r="AI224" t="s">
        <v>943</v>
      </c>
      <c r="AJ224" s="114">
        <f>AN218</f>
        <v>5435413.1679171938</v>
      </c>
    </row>
    <row r="225" spans="17:40">
      <c r="Q225" s="99" t="s">
        <v>4814</v>
      </c>
      <c r="R225" s="95">
        <v>37328780</v>
      </c>
      <c r="T225" s="168"/>
      <c r="U225" s="168">
        <f>SUM(U173:U224)</f>
        <v>3230957</v>
      </c>
      <c r="V225" s="99"/>
      <c r="W225" s="99"/>
      <c r="X225" s="99"/>
      <c r="AI225" t="s">
        <v>4065</v>
      </c>
      <c r="AJ225" s="114">
        <f>AJ223-AJ224</f>
        <v>17023529.63208288</v>
      </c>
      <c r="AN225" t="s">
        <v>25</v>
      </c>
    </row>
    <row r="226" spans="17:40">
      <c r="Q226" s="99"/>
      <c r="R226" s="95"/>
      <c r="T226" s="99"/>
      <c r="U226" s="99" t="s">
        <v>6</v>
      </c>
      <c r="V226" s="99"/>
      <c r="W226" s="99"/>
      <c r="X226" s="99"/>
      <c r="AN226" t="s">
        <v>25</v>
      </c>
    </row>
    <row r="227" spans="17:40">
      <c r="Q227" s="99"/>
      <c r="R227" s="95">
        <f>SUM(R206:R226)</f>
        <v>408236459</v>
      </c>
      <c r="T227" s="201" t="s">
        <v>4488</v>
      </c>
    </row>
    <row r="228" spans="17:40">
      <c r="Q228" s="99"/>
      <c r="R228" s="99" t="s">
        <v>6</v>
      </c>
      <c r="T228" s="200">
        <f>R183/U225</f>
        <v>265.28511747448204</v>
      </c>
    </row>
    <row r="229" spans="17:40">
      <c r="S229" t="s">
        <v>25</v>
      </c>
      <c r="W229" s="114"/>
    </row>
    <row r="230" spans="17:40">
      <c r="U230" s="96" t="s">
        <v>267</v>
      </c>
      <c r="V230" t="s">
        <v>4489</v>
      </c>
      <c r="X230" t="s">
        <v>25</v>
      </c>
    </row>
    <row r="231" spans="17:40">
      <c r="Q231" s="99" t="s">
        <v>452</v>
      </c>
      <c r="R231" s="99"/>
      <c r="T231" s="114"/>
      <c r="U231" s="113">
        <v>2250000</v>
      </c>
      <c r="V231">
        <f>U231/T228</f>
        <v>8481.4407284510744</v>
      </c>
      <c r="X231" t="s">
        <v>25</v>
      </c>
    </row>
    <row r="232" spans="17:40">
      <c r="Q232" s="99" t="s">
        <v>4444</v>
      </c>
      <c r="R232" s="95">
        <v>63115000</v>
      </c>
      <c r="X232" t="s">
        <v>25</v>
      </c>
    </row>
    <row r="233" spans="17:40">
      <c r="Q233" s="99" t="s">
        <v>4499</v>
      </c>
      <c r="R233" s="95">
        <v>13300000</v>
      </c>
      <c r="W233" s="227"/>
      <c r="X233" s="96"/>
    </row>
    <row r="234" spans="17:40">
      <c r="Q234" s="99" t="s">
        <v>4509</v>
      </c>
      <c r="R234" s="95">
        <v>2269000</v>
      </c>
    </row>
    <row r="235" spans="17:40">
      <c r="Q235" s="99" t="s">
        <v>4633</v>
      </c>
      <c r="R235" s="95">
        <v>25071612</v>
      </c>
    </row>
    <row r="236" spans="17:40" ht="60">
      <c r="Q236" s="99" t="s">
        <v>4645</v>
      </c>
      <c r="R236" s="95">
        <v>42236984</v>
      </c>
      <c r="T236" s="22" t="s">
        <v>4472</v>
      </c>
      <c r="X236" t="s">
        <v>25</v>
      </c>
    </row>
    <row r="237" spans="17:40" ht="45">
      <c r="Q237" s="99" t="s">
        <v>4648</v>
      </c>
      <c r="R237" s="95">
        <v>19663646</v>
      </c>
      <c r="T237" s="22" t="s">
        <v>4473</v>
      </c>
    </row>
    <row r="238" spans="17:40">
      <c r="Q238" s="99" t="s">
        <v>4675</v>
      </c>
      <c r="R238" s="95">
        <v>4374525</v>
      </c>
    </row>
    <row r="239" spans="17:40">
      <c r="Q239" s="99" t="s">
        <v>4691</v>
      </c>
      <c r="R239" s="95">
        <v>6550580</v>
      </c>
    </row>
    <row r="240" spans="17:40">
      <c r="Q240" s="99" t="s">
        <v>4695</v>
      </c>
      <c r="R240" s="95">
        <v>7054895</v>
      </c>
      <c r="T240" s="99" t="s">
        <v>4490</v>
      </c>
      <c r="U240" s="99" t="s">
        <v>4461</v>
      </c>
      <c r="V240" s="99" t="s">
        <v>953</v>
      </c>
    </row>
    <row r="241" spans="17:22">
      <c r="Q241" s="99" t="s">
        <v>4732</v>
      </c>
      <c r="R241" s="95">
        <v>2145814</v>
      </c>
      <c r="T241" s="95">
        <f>R199+R227+R257</f>
        <v>792665293</v>
      </c>
      <c r="U241" s="95">
        <f>R183</f>
        <v>857124807.30000007</v>
      </c>
      <c r="V241" s="95">
        <f>U241-T241</f>
        <v>64459514.300000072</v>
      </c>
    </row>
    <row r="242" spans="17:22">
      <c r="Q242" s="99" t="s">
        <v>4747</v>
      </c>
      <c r="R242" s="95">
        <v>4369730</v>
      </c>
    </row>
    <row r="243" spans="17:22">
      <c r="Q243" s="99" t="s">
        <v>4752</v>
      </c>
      <c r="R243" s="95">
        <v>8739459</v>
      </c>
    </row>
    <row r="244" spans="17:22">
      <c r="Q244" s="99" t="s">
        <v>4763</v>
      </c>
      <c r="R244" s="95">
        <v>6667654</v>
      </c>
    </row>
    <row r="245" spans="17:22">
      <c r="Q245" s="99" t="s">
        <v>3684</v>
      </c>
      <c r="R245" s="95">
        <v>8981245</v>
      </c>
    </row>
    <row r="246" spans="17:22">
      <c r="Q246" s="99" t="s">
        <v>4776</v>
      </c>
      <c r="R246" s="95">
        <v>9181756</v>
      </c>
      <c r="T246" t="s">
        <v>25</v>
      </c>
    </row>
    <row r="247" spans="17:22">
      <c r="Q247" s="99" t="s">
        <v>4786</v>
      </c>
      <c r="R247" s="95">
        <v>11811208</v>
      </c>
      <c r="T247" t="s">
        <v>25</v>
      </c>
    </row>
    <row r="248" spans="17:22">
      <c r="Q248" s="99" t="s">
        <v>4804</v>
      </c>
      <c r="R248" s="95">
        <v>41248054</v>
      </c>
    </row>
    <row r="249" spans="17:22">
      <c r="Q249" s="99" t="s">
        <v>4814</v>
      </c>
      <c r="R249" s="95">
        <v>37328780</v>
      </c>
      <c r="T249" t="s">
        <v>25</v>
      </c>
    </row>
    <row r="250" spans="17:22">
      <c r="Q250" s="99" t="s">
        <v>4824</v>
      </c>
      <c r="R250" s="95">
        <v>50000000</v>
      </c>
    </row>
    <row r="251" spans="17:22">
      <c r="Q251" s="99" t="s">
        <v>4905</v>
      </c>
      <c r="R251" s="95">
        <v>68656</v>
      </c>
    </row>
    <row r="252" spans="17:22">
      <c r="Q252" s="99" t="s">
        <v>4937</v>
      </c>
      <c r="R252" s="95">
        <v>4000236</v>
      </c>
    </row>
    <row r="253" spans="17:22">
      <c r="Q253" s="99" t="s">
        <v>4937</v>
      </c>
      <c r="R253" s="95">
        <v>2250000</v>
      </c>
      <c r="T253" t="s">
        <v>25</v>
      </c>
    </row>
    <row r="254" spans="17:22">
      <c r="Q254" s="99"/>
      <c r="R254" s="95"/>
      <c r="T254" t="s">
        <v>25</v>
      </c>
    </row>
    <row r="255" spans="17:22">
      <c r="Q255" s="99"/>
      <c r="R255" s="95"/>
    </row>
    <row r="256" spans="17:22">
      <c r="Q256" s="99"/>
      <c r="R256" s="95"/>
      <c r="T256" t="s">
        <v>25</v>
      </c>
    </row>
    <row r="257" spans="17:20">
      <c r="Q257" s="99"/>
      <c r="R257" s="95">
        <f>SUM(R232:R256)</f>
        <v>370428834</v>
      </c>
      <c r="T257" t="s">
        <v>25</v>
      </c>
    </row>
    <row r="258" spans="17:20">
      <c r="Q258" s="99"/>
      <c r="R258" s="99" t="s">
        <v>6</v>
      </c>
    </row>
    <row r="261" spans="17:20">
      <c r="T26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39:G1048576 I131:I138 G129:G130 G96:G120">
    <cfRule type="cellIs" dxfId="11" priority="12" operator="lessThan">
      <formula>0</formula>
    </cfRule>
  </conditionalFormatting>
  <conditionalFormatting sqref="G121">
    <cfRule type="cellIs" dxfId="10" priority="11" operator="lessThan">
      <formula>0</formula>
    </cfRule>
  </conditionalFormatting>
  <conditionalFormatting sqref="G124">
    <cfRule type="cellIs" dxfId="9" priority="3" operator="lessThan">
      <formula>0</formula>
    </cfRule>
  </conditionalFormatting>
  <conditionalFormatting sqref="G122">
    <cfRule type="cellIs" dxfId="8" priority="6" operator="lessThan">
      <formula>0</formula>
    </cfRule>
  </conditionalFormatting>
  <conditionalFormatting sqref="G125 G127">
    <cfRule type="cellIs" dxfId="7" priority="4" operator="lessThan">
      <formula>0</formula>
    </cfRule>
  </conditionalFormatting>
  <conditionalFormatting sqref="G128">
    <cfRule type="cellIs" dxfId="6" priority="1" operator="lessThan">
      <formula>0</formula>
    </cfRule>
  </conditionalFormatting>
  <conditionalFormatting sqref="G123">
    <cfRule type="cellIs" dxfId="5" priority="5" operator="lessThan">
      <formula>0</formula>
    </cfRule>
  </conditionalFormatting>
  <conditionalFormatting sqref="G126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60 S95 S101 S104:S106 S109 S115:S116 S111 S126 S37:S38 S140 S1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A58" workbookViewId="0">
      <selection activeCell="D85" sqref="D85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0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4914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 t="s">
        <v>4937</v>
      </c>
      <c r="B75" s="95">
        <v>4500000</v>
      </c>
      <c r="C75" s="95">
        <v>4620000</v>
      </c>
      <c r="D75" s="95">
        <v>13000</v>
      </c>
      <c r="E75" s="95">
        <v>13200</v>
      </c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 t="s">
        <v>4946</v>
      </c>
      <c r="B76" s="95">
        <v>4450000</v>
      </c>
      <c r="C76" s="95">
        <v>4600000</v>
      </c>
      <c r="D76" s="95">
        <v>12850</v>
      </c>
      <c r="E76" s="95">
        <v>13050</v>
      </c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/>
      <c r="B77" s="95"/>
      <c r="C77" s="95"/>
      <c r="D77" s="95"/>
      <c r="E77" s="95"/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5" t="s">
        <v>4945</v>
      </c>
      <c r="J80" s="35">
        <f t="shared" si="12"/>
        <v>-1984018</v>
      </c>
      <c r="K80" s="5" t="s">
        <v>4905</v>
      </c>
      <c r="L80" s="241">
        <v>641421493</v>
      </c>
      <c r="M80" s="241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 ht="30">
      <c r="I82" s="243" t="s">
        <v>4944</v>
      </c>
      <c r="J82" s="86">
        <f t="shared" si="12"/>
        <v>8860702</v>
      </c>
      <c r="K82" s="192" t="s">
        <v>4937</v>
      </c>
      <c r="L82" s="242">
        <v>656400072</v>
      </c>
      <c r="M82" s="242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1:16">
      <c r="I83" s="217"/>
      <c r="J83" s="113">
        <f t="shared" si="12"/>
        <v>-656400072</v>
      </c>
      <c r="K83" s="217" t="s">
        <v>4946</v>
      </c>
      <c r="L83" s="84"/>
      <c r="M83" s="84">
        <v>266000000</v>
      </c>
      <c r="N83" s="113">
        <f t="shared" si="13"/>
        <v>266000000</v>
      </c>
      <c r="O83" s="113">
        <f t="shared" si="14"/>
        <v>5153948</v>
      </c>
      <c r="P83" s="113">
        <f t="shared" si="15"/>
        <v>-651246124</v>
      </c>
    </row>
    <row r="84" spans="1:16">
      <c r="D84" s="114">
        <f>B76-B47+L19</f>
        <v>4761628</v>
      </c>
      <c r="F84" t="s">
        <v>25</v>
      </c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-266000000</v>
      </c>
      <c r="P84" s="113">
        <f t="shared" si="15"/>
        <v>-266000000</v>
      </c>
    </row>
    <row r="85" spans="1:16">
      <c r="B85" t="s">
        <v>25</v>
      </c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4824</v>
      </c>
      <c r="B44" s="113">
        <v>-31000</v>
      </c>
      <c r="C44" s="99" t="s">
        <v>4837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4" t="s">
        <v>1089</v>
      </c>
      <c r="R21" s="244"/>
      <c r="S21" s="244"/>
      <c r="T21" s="244"/>
      <c r="U21" s="96"/>
      <c r="V21" s="96"/>
      <c r="W21" s="96"/>
      <c r="X21" s="96"/>
      <c r="Y21" s="96"/>
      <c r="Z21" s="96"/>
    </row>
    <row r="22" spans="5:35">
      <c r="O22" s="99"/>
      <c r="P22" s="99"/>
      <c r="Q22" s="244"/>
      <c r="R22" s="244"/>
      <c r="S22" s="244"/>
      <c r="T22" s="24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5" t="s">
        <v>1090</v>
      </c>
      <c r="R23" s="246" t="s">
        <v>1091</v>
      </c>
      <c r="S23" s="245" t="s">
        <v>1092</v>
      </c>
      <c r="T23" s="247" t="s">
        <v>1093</v>
      </c>
      <c r="AD23" t="s">
        <v>25</v>
      </c>
    </row>
    <row r="24" spans="5:35">
      <c r="O24" s="99"/>
      <c r="P24" s="99"/>
      <c r="Q24" s="245"/>
      <c r="R24" s="246"/>
      <c r="S24" s="245"/>
      <c r="T24" s="24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4914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4914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2019-03-17T12:06:18Z</dcterms:modified>
</cp:coreProperties>
</file>