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اردیبهشت 97" sheetId="3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لیست خرید و فروش" sheetId="32" r:id="rId33"/>
    <sheet name="اوراق بدون ریسک" sheetId="33" r:id="rId34"/>
    <sheet name="نکات" sheetId="35" r:id="rId35"/>
    <sheet name="سکه" sheetId="36" r:id="rId36"/>
    <sheet name="bluecard" sheetId="37" r:id="rId37"/>
  </sheets>
  <calcPr calcId="145621"/>
</workbook>
</file>

<file path=xl/calcChain.xml><?xml version="1.0" encoding="utf-8"?>
<calcChain xmlns="http://schemas.openxmlformats.org/spreadsheetml/2006/main">
  <c r="L32" i="18" l="1"/>
  <c r="N32" i="18"/>
  <c r="L58" i="32" l="1"/>
  <c r="I58" i="32"/>
  <c r="O56" i="18" l="1"/>
  <c r="D154" i="20"/>
  <c r="D153" i="20"/>
  <c r="R70" i="32" l="1"/>
  <c r="S70" i="32"/>
  <c r="Q70" i="32"/>
  <c r="N26" i="18"/>
  <c r="D42" i="38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55" i="20" l="1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AA70" i="18"/>
  <c r="Z72" i="18"/>
  <c r="AA72" i="18" s="1"/>
  <c r="Z71" i="18"/>
  <c r="AA71" i="18" s="1"/>
  <c r="Z70" i="18"/>
  <c r="G32" i="10"/>
  <c r="B127" i="13"/>
  <c r="K154" i="20" l="1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F206" i="15" l="1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05" i="15" l="1"/>
  <c r="F204" i="15"/>
  <c r="F203" i="15"/>
  <c r="F202" i="15"/>
  <c r="F201" i="15"/>
  <c r="F200" i="15"/>
  <c r="F199" i="15"/>
  <c r="F198" i="15"/>
  <c r="F197" i="15"/>
  <c r="E47" i="32"/>
  <c r="M47" i="32" s="1"/>
  <c r="O57" i="18" l="1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N8" i="18"/>
  <c r="AG19" i="36" l="1"/>
  <c r="AH19" i="36" s="1"/>
  <c r="M70" i="32" l="1"/>
  <c r="K47" i="32"/>
  <c r="U47" i="32" s="1"/>
  <c r="K46" i="32"/>
  <c r="U46" i="32" s="1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AC16" i="32" l="1"/>
  <c r="AD16" i="32"/>
  <c r="AB16" i="32"/>
  <c r="T22" i="36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G30" i="34" s="1"/>
  <c r="H2" i="38" l="1"/>
  <c r="H25" i="38" s="1"/>
  <c r="C24" i="38"/>
  <c r="G2" i="38"/>
  <c r="G25" i="38" s="1"/>
  <c r="G30" i="38" s="1"/>
  <c r="D2" i="38"/>
  <c r="B24" i="38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H30" i="38" l="1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 l="1"/>
  <c r="G120" i="13"/>
  <c r="G118" i="13"/>
  <c r="G119" i="13"/>
  <c r="G117" i="13"/>
  <c r="G116" i="13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2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1" i="18" l="1"/>
  <c r="E33" i="13"/>
  <c r="G34" i="13"/>
  <c r="I97" i="20"/>
  <c r="K97" i="20"/>
  <c r="J97" i="20"/>
  <c r="F108" i="15"/>
  <c r="C20" i="18"/>
  <c r="E19" i="14"/>
  <c r="G20" i="14"/>
  <c r="G21" i="14"/>
  <c r="G15" i="18" l="1"/>
  <c r="F16" i="18"/>
  <c r="G16" i="18" s="1"/>
  <c r="L33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<sst xmlns="http://schemas.openxmlformats.org/spreadsheetml/2006/main" count="2952" uniqueCount="1287">
  <si>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</si>
  <si>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</si>
  <si>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</si>
  <si>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</si>
  <si>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</si>
  <si>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</si>
  <si>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</si>
  <si>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</si>
  <si>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</si>
  <si>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</si>
  <si>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</si>
  <si>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</si>
  <si>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</si>
  <si>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</si>
  <si>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</si>
  <si>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</si>
  <si>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</si>
  <si>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</si>
  <si>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</si>
  <si>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</si>
  <si>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</si>
  <si>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</si>
  <si>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</si>
  <si>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</si>
  <si>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</si>
  <si>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</si>
  <si>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</si>
  <si>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</si>
  <si>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</si>
  <si>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</si>
  <si>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</si>
  <si>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</si>
  <si>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</si>
  <si>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</si>
  <si>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</si>
  <si>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</si>
  <si>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</si>
  <si>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</si>
  <si>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</si>
  <si>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</si>
  <si>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</si>
  <si>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</si>
  <si>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</si>
  <si>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</si>
  <si>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</si>
  <si>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</si>
  <si>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</si>
  <si>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</si>
  <si>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</si>
  <si>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</si>
  <si>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</si>
  <si>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</si>
  <si>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</si>
  <si>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</si>
  <si>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</si>
  <si>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</si>
  <si>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</si>
  <si>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</si>
  <si>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</si>
  <si>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</si>
  <si>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</si>
  <si>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</si>
  <si>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</si>
  <si>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</si>
  <si>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</si>
  <si>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</si>
  <si>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</si>
  <si>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</si>
  <si>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</si>
  <si>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</si>
  <si>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</si>
  <si>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</si>
  <si>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</si>
  <si>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</si>
  <si>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</si>
  <si>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</si>
  <si>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</si>
  <si>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</si>
  <si>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</si>
  <si>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</si>
  <si>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</si>
  <si>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</si>
  <si>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</si>
  <si>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</si>
  <si>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</si>
  <si>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</si>
  <si>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</si>
  <si>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</si>
  <si>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</si>
  <si>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</si>
  <si>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</si>
  <si>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</si>
  <si>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</si>
  <si>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</si>
  <si>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</si>
  <si>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</si>
  <si>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</si>
  <si>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</si>
  <si>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</si>
  <si>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</si>
  <si>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</si>
  <si>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</si>
  <si>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</si>
  <si>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</si>
  <si>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</si>
  <si>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</si>
  <si>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</si>
  <si>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</si>
  <si>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</si>
  <si>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</si>
  <si>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</si>
  <si>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</si>
  <si>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</si>
  <si>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</si>
  <si>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</si>
  <si>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</si>
  <si>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</si>
  <si>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</si>
  <si>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</si>
  <si>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</si>
  <si>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</si>
  <si>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</si>
  <si>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</si>
  <si>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</si>
  <si>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</si>
  <si>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</si>
  <si>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</si>
  <si>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</si>
  <si>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</si>
  <si>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</si>
  <si>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</si>
  <si>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</si>
  <si>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</si>
  <si>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</si>
  <si>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</si>
  <si>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</si>
  <si>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</si>
  <si>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</si>
  <si>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</si>
  <si>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</si>
  <si>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</si>
  <si>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</si>
  <si>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</si>
  <si>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</si>
  <si>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</si>
  <si>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</si>
  <si>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</si>
  <si>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</si>
  <si>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</si>
  <si>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</si>
  <si>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</si>
  <si>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</si>
  <si>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</si>
  <si>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</si>
  <si>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</si>
  <si>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</si>
  <si>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</si>
  <si>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</si>
  <si>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</si>
  <si>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</si>
  <si>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</si>
  <si>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</si>
  <si>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</si>
  <si>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</si>
  <si>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</si>
  <si>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</si>
  <si>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</si>
  <si>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</si>
  <si>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</si>
  <si>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</si>
  <si>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</si>
  <si>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</si>
  <si>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</si>
  <si>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</si>
  <si>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</si>
  <si>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</si>
  <si>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</si>
  <si>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</si>
  <si>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</si>
  <si>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</si>
  <si>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</si>
  <si>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</si>
  <si>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</si>
  <si>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</si>
  <si>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</si>
  <si>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</si>
  <si>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</si>
  <si>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</si>
  <si>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</si>
  <si>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</si>
  <si>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</si>
  <si>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</si>
  <si>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</si>
  <si>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</si>
  <si>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</si>
  <si>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</si>
  <si>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</si>
  <si>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</si>
  <si>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</si>
  <si>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</si>
  <si>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</si>
  <si>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</si>
  <si>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</si>
  <si>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</si>
  <si>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</si>
  <si>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</si>
  <si>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</si>
  <si>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</si>
  <si>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</si>
  <si>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</si>
  <si>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</si>
  <si>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</si>
  <si>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</si>
  <si>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</si>
  <si>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</si>
  <si>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</si>
  <si>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</si>
  <si>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</si>
  <si>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</si>
  <si>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</si>
  <si>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</si>
  <si>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</si>
  <si>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</si>
  <si>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</si>
  <si>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</si>
  <si>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</si>
  <si>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</si>
  <si>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</si>
  <si>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</si>
  <si>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</si>
  <si>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</si>
  <si>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</si>
  <si>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</si>
  <si>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</si>
  <si>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</si>
  <si>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</si>
  <si>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</si>
  <si>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</si>
  <si>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</si>
  <si>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</si>
  <si>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</si>
  <si>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</si>
  <si>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</si>
  <si>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</si>
  <si>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</si>
  <si>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</si>
  <si>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</si>
  <si>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</si>
  <si>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</si>
  <si>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</si>
  <si>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</si>
  <si>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</si>
  <si>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</si>
  <si>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</si>
  <si>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</si>
  <si>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</si>
  <si>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</si>
  <si>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</si>
  <si>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</si>
  <si>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</si>
  <si>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</si>
  <si>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</si>
  <si>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</si>
  <si>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</si>
  <si>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</si>
  <si>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</si>
  <si>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</si>
  <si>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</si>
  <si>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</si>
  <si>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</si>
  <si>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</si>
  <si>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</si>
  <si>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</si>
  <si>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</si>
  <si>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</si>
  <si>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</si>
  <si>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</si>
  <si>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</si>
  <si>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</si>
  <si>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</si>
  <si>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</si>
  <si>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</si>
  <si>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</si>
  <si>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</si>
  <si>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</si>
  <si>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</si>
  <si>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</si>
  <si>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</si>
  <si>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</si>
  <si>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</si>
  <si>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</si>
  <si>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</si>
  <si>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</si>
  <si>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</si>
  <si>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</si>
  <si>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</si>
  <si>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</si>
  <si>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</si>
  <si>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</si>
  <si>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</si>
  <si>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</si>
  <si>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</si>
  <si>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</si>
  <si>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</si>
  <si>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</si>
  <si>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</si>
  <si>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</si>
  <si>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</si>
  <si>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</si>
  <si>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</si>
  <si>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</si>
  <si>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</si>
  <si>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</si>
  <si>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</si>
  <si>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</si>
  <si>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</si>
  <si>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</si>
  <si>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</si>
  <si>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</si>
  <si>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</si>
  <si>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</si>
  <si>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</si>
  <si>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</si>
  <si>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</si>
  <si>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</si>
  <si>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</si>
  <si>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</si>
  <si>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</si>
  <si>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</si>
  <si>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</si>
  <si>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</si>
  <si>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</si>
  <si>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</si>
  <si>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</si>
  <si>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</si>
  <si>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</si>
  <si>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</si>
  <si>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</si>
  <si>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</si>
  <si>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</si>
  <si>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</si>
  <si>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</si>
  <si>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</si>
  <si>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</si>
  <si>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</si>
  <si>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</si>
  <si>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</si>
  <si>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</si>
  <si>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</si>
  <si>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</si>
  <si>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</si>
  <si>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</si>
  <si>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</si>
  <si>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</si>
  <si>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</si>
  <si>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</si>
  <si>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</si>
  <si>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</si>
  <si>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</si>
  <si>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</si>
  <si>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</si>
  <si>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</si>
  <si>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</si>
  <si>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</si>
  <si>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</si>
  <si>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</si>
  <si>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</si>
  <si>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</si>
  <si>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</si>
  <si>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</si>
  <si>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</si>
  <si>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</si>
  <si>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</si>
  <si>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</si>
  <si>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</si>
  <si>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</si>
  <si>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</si>
  <si>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</si>
  <si>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</si>
  <si>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</si>
  <si>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</si>
  <si>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</si>
  <si>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</si>
  <si>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</si>
  <si>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</si>
  <si>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</si>
  <si>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</si>
  <si>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</si>
  <si>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</si>
  <si>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</si>
  <si>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</si>
  <si>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</si>
  <si>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</si>
  <si>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</si>
  <si>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</si>
  <si>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</si>
  <si>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</si>
  <si>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</si>
  <si>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</si>
  <si>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</si>
  <si>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</si>
  <si>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</si>
  <si>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</si>
  <si>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</si>
  <si>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</si>
  <si>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</si>
  <si>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</si>
  <si>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</si>
  <si>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</si>
  <si>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</si>
  <si>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</si>
  <si>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</si>
  <si>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</si>
  <si>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</si>
  <si>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</si>
  <si>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</si>
  <si>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</si>
  <si>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</si>
  <si>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</si>
  <si>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</si>
  <si>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</si>
  <si>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</si>
  <si>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</si>
  <si>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</si>
  <si>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</si>
  <si>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</si>
  <si>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</si>
  <si>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</si>
  <si>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</si>
  <si>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</si>
  <si>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</si>
  <si>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</si>
  <si>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</si>
  <si>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</si>
  <si>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</si>
  <si>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</si>
  <si>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</si>
  <si>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</si>
  <si>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</si>
  <si>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</si>
  <si>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</si>
  <si>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</si>
  <si>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</si>
  <si>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</si>
  <si>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</si>
  <si>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</si>
  <si>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</si>
  <si>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</si>
  <si>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</si>
  <si>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</si>
  <si>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</si>
  <si>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</si>
  <si>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</si>
  <si>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</si>
  <si>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</si>
  <si>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</si>
  <si>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</si>
  <si>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</si>
  <si>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</si>
  <si>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</si>
  <si>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</si>
  <si>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</si>
  <si>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</si>
  <si>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</si>
  <si>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</si>
  <si>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</si>
  <si>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</si>
  <si>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</si>
  <si>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</si>
  <si>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</si>
  <si>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</si>
  <si>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</si>
  <si>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</si>
  <si>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</si>
  <si>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</si>
  <si>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</si>
  <si>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</si>
  <si>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</si>
  <si>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</si>
  <si>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</si>
  <si>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</si>
  <si>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</si>
  <si>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</si>
  <si>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</si>
  <si>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</si>
  <si>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</si>
  <si>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</si>
  <si>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</si>
  <si>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</si>
  <si>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</si>
  <si>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</si>
  <si>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</si>
  <si>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</si>
  <si>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</si>
  <si>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</si>
  <si>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</si>
  <si>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</si>
  <si>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</si>
  <si>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</si>
  <si>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</si>
  <si>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</si>
  <si>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</si>
  <si>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</si>
  <si>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</si>
  <si>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</si>
  <si>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</si>
  <si>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</si>
  <si>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</si>
  <si>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</si>
  <si>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</si>
  <si>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</si>
  <si>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</si>
  <si>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</si>
  <si>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</si>
  <si>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</si>
  <si>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</si>
  <si>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</si>
  <si>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</si>
  <si>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</si>
  <si>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</si>
  <si>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</si>
  <si>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</si>
  <si>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</si>
  <si>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</si>
  <si>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</si>
  <si>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</si>
  <si>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</si>
  <si>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</si>
  <si>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</si>
  <si>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</si>
  <si>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</si>
  <si>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</si>
  <si>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</si>
  <si>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</si>
  <si>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</si>
  <si>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</si>
  <si>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</si>
  <si>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</si>
  <si>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</si>
  <si>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</si>
  <si>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</si>
  <si>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</si>
  <si>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</si>
  <si>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</si>
  <si>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</si>
  <si>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</si>
  <si>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</si>
  <si>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</si>
  <si>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</si>
  <si>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</si>
  <si>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</si>
  <si>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</si>
  <si>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</si>
  <si>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</si>
  <si>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</si>
  <si>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</si>
  <si>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</si>
  <si>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</si>
  <si>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</si>
  <si>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</si>
  <si>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</si>
  <si>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</si>
  <si>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</si>
  <si>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</si>
  <si>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</si>
  <si>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</si>
  <si>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</si>
  <si>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</si>
  <si>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</si>
  <si>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</si>
  <si>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</si>
  <si>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</si>
  <si>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</si>
  <si>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</si>
  <si>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</si>
  <si>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</si>
  <si>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</si>
  <si>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</si>
  <si>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</si>
  <si>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</si>
  <si>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</si>
  <si>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</si>
  <si>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</si>
  <si>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</si>
  <si>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</si>
  <si>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</si>
  <si>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</si>
  <si>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</si>
  <si>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</si>
  <si>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</si>
  <si>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</si>
  <si>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</si>
  <si>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</si>
  <si>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</si>
  <si>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</si>
  <si>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</si>
  <si>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</si>
  <si>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</si>
  <si>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</si>
  <si>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</si>
  <si>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</si>
  <si>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</si>
  <si>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</si>
  <si>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</si>
  <si>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</si>
  <si>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</si>
  <si>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</si>
  <si>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</si>
  <si>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</si>
  <si>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</si>
  <si>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</si>
  <si>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</si>
  <si>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</si>
  <si>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</si>
  <si>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</si>
  <si>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</si>
  <si>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</si>
  <si>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</si>
  <si>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</si>
  <si>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</si>
  <si>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</si>
  <si>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</si>
  <si>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</si>
  <si>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</si>
  <si>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</si>
  <si>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</si>
  <si>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</si>
  <si>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</si>
  <si>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</si>
  <si>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</si>
  <si>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</si>
  <si>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</si>
  <si>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</si>
  <si>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</si>
  <si>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</si>
  <si>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</si>
  <si>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</si>
  <si>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</si>
  <si>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</si>
  <si>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</si>
  <si>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</si>
  <si>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</si>
  <si>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</si>
  <si>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</si>
  <si>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</si>
  <si>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</si>
  <si>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</si>
  <si>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</si>
  <si>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</si>
  <si>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</si>
  <si>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</si>
  <si>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</si>
  <si>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</si>
  <si>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</si>
  <si>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</si>
  <si>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</si>
  <si>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</si>
  <si>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</si>
  <si>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</si>
  <si>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</si>
  <si>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</si>
  <si>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</si>
  <si>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</si>
  <si>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</si>
  <si>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</si>
  <si>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</si>
  <si>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</si>
  <si>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</si>
  <si>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</si>
  <si>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</si>
  <si>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</si>
  <si>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</si>
  <si>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</si>
  <si>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</si>
  <si>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</si>
  <si>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</si>
  <si>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</si>
  <si>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</si>
  <si>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</si>
  <si>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</si>
  <si>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</si>
  <si>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</si>
  <si>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</si>
  <si>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</si>
  <si>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</si>
  <si>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</si>
  <si>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</si>
  <si>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</si>
  <si>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</si>
  <si>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</si>
  <si>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</si>
  <si>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</si>
  <si>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</si>
  <si>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</si>
  <si>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</si>
  <si>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</si>
  <si>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</si>
  <si>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</si>
  <si>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</si>
  <si>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</si>
  <si>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</si>
  <si>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</si>
  <si>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</si>
  <si>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</si>
  <si>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</si>
  <si>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</si>
  <si>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</si>
  <si>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</si>
  <si>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</si>
  <si>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</si>
  <si>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</si>
  <si>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</si>
  <si>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</si>
  <si>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</si>
  <si>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</si>
  <si>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</si>
  <si>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</si>
  <si>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</si>
  <si>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</si>
  <si>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</si>
  <si>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</si>
  <si>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</si>
  <si>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</si>
  <si>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</si>
  <si>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</si>
  <si>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</si>
  <si>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</si>
  <si>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</si>
  <si>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</si>
  <si>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</si>
  <si>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</si>
  <si>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</si>
  <si>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</si>
  <si>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</si>
  <si>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</si>
  <si>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</si>
  <si>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</si>
  <si>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</si>
  <si>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</si>
  <si>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</si>
  <si>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</si>
  <si>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</si>
  <si>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</si>
  <si>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</si>
  <si>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</si>
  <si>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</si>
  <si>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</si>
  <si>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</si>
  <si>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</si>
  <si>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</si>
  <si>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</si>
  <si>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</si>
  <si>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</si>
  <si>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</si>
  <si>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</si>
  <si>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</si>
  <si>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</si>
  <si>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</si>
  <si>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</si>
  <si>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</si>
  <si>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</si>
  <si>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</si>
  <si>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</si>
  <si>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</si>
  <si>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</si>
  <si>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</si>
  <si>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</si>
  <si>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</si>
  <si>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</si>
  <si>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</si>
  <si>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</si>
  <si>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</si>
  <si>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</si>
  <si>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</si>
  <si>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</si>
  <si>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</si>
  <si>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</si>
  <si>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</si>
  <si>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</si>
  <si>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</si>
  <si>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</si>
  <si>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</si>
  <si>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</si>
  <si>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</si>
  <si>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</si>
  <si>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</si>
  <si>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</si>
  <si>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</si>
  <si>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</si>
  <si>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</si>
  <si>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</si>
  <si>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</si>
  <si>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</si>
  <si>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</si>
  <si>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</si>
  <si>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</si>
  <si>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</si>
  <si>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</si>
  <si>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</si>
  <si>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</si>
  <si>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</si>
  <si>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</si>
  <si>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</si>
  <si>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</si>
  <si>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</si>
  <si>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</si>
  <si>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</si>
  <si>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</si>
  <si>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</si>
  <si>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</si>
  <si>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</si>
  <si>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</si>
  <si>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</si>
  <si>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</si>
  <si>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</si>
  <si>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</si>
  <si>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</si>
  <si>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</si>
  <si>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</si>
  <si>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</si>
  <si>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</si>
  <si>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</si>
  <si>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</si>
  <si>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</si>
  <si>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</si>
  <si>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</si>
  <si>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</si>
  <si>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</si>
  <si>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</si>
  <si>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</si>
  <si>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</si>
  <si>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</si>
  <si>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</si>
  <si>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</si>
  <si>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</si>
  <si>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</si>
  <si>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</si>
  <si>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</si>
  <si>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</si>
  <si>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</si>
  <si>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</si>
  <si>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</si>
  <si>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</si>
  <si>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</si>
  <si>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</si>
  <si>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</si>
  <si>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</si>
  <si>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</si>
  <si>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</si>
  <si>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</si>
  <si>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</si>
  <si>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</si>
  <si>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</si>
  <si>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</si>
  <si>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</si>
  <si>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</si>
  <si>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</si>
  <si>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</si>
  <si>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</si>
  <si>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</si>
  <si>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</si>
  <si>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</si>
  <si>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</si>
  <si>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</si>
  <si>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</si>
  <si>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</si>
  <si>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</si>
  <si>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</si>
  <si>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</si>
  <si>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</si>
  <si>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</si>
  <si>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</si>
  <si>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</si>
  <si>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</si>
  <si>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</si>
  <si>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</si>
  <si>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</si>
  <si>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</si>
  <si>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</si>
  <si>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</si>
  <si>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</si>
  <si>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</si>
  <si>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</si>
  <si>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</si>
  <si>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</si>
  <si>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</si>
  <si>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</si>
  <si>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</si>
  <si>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</si>
  <si>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</si>
  <si>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</si>
  <si>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</si>
  <si>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</si>
  <si>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</si>
  <si>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</si>
  <si>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</si>
  <si>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</si>
  <si>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</si>
  <si>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</si>
  <si>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</si>
  <si>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</si>
  <si>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</si>
  <si>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</si>
  <si>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</si>
  <si>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</si>
  <si>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</si>
  <si>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</si>
  <si>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</si>
  <si>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</si>
  <si>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</si>
  <si>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</si>
  <si>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</si>
  <si>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</si>
  <si>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</si>
  <si>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</si>
  <si>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</si>
  <si>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</si>
  <si>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</si>
  <si>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</si>
  <si>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</si>
  <si>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</si>
  <si>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</si>
  <si>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</si>
  <si>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</si>
  <si>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</si>
  <si>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</si>
  <si>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</si>
  <si>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</si>
  <si>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</si>
  <si>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</si>
  <si>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</si>
  <si>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</si>
  <si>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</si>
  <si>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</si>
  <si>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</si>
  <si>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</si>
  <si>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</si>
  <si>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</si>
  <si>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</si>
  <si>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</si>
  <si>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</si>
  <si>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</si>
  <si>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</si>
  <si>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</si>
  <si>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</si>
  <si>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</si>
  <si>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</si>
  <si>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</si>
  <si>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</si>
  <si>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</si>
  <si>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</si>
  <si>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</si>
  <si>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</si>
  <si>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</si>
  <si>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</si>
  <si>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</si>
  <si>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</si>
  <si>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</si>
  <si>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</si>
  <si>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</si>
  <si>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</si>
  <si>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</si>
  <si>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</si>
  <si>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</si>
  <si>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</si>
  <si>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</si>
  <si>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</si>
  <si>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</si>
  <si>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</si>
  <si>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</si>
  <si>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</si>
  <si>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</si>
  <si>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</si>
  <si>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</si>
  <si>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</si>
  <si>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</si>
  <si>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</si>
  <si>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</si>
  <si>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</si>
  <si>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</si>
  <si>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</si>
  <si>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</si>
  <si>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</si>
  <si>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</si>
  <si>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</si>
  <si>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</si>
  <si>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</si>
  <si>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</si>
  <si>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</si>
  <si>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</si>
  <si>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</si>
  <si>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</si>
  <si>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</si>
  <si>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</si>
  <si>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</si>
  <si>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</si>
  <si>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</si>
  <si>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</si>
  <si>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</si>
  <si>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</si>
  <si>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</si>
  <si>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</si>
  <si>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</si>
  <si>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</si>
  <si>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</si>
  <si>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</si>
  <si>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</si>
  <si>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</si>
  <si>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</si>
  <si>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</si>
  <si>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</si>
  <si>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</si>
  <si>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</si>
  <si>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</si>
  <si>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</si>
  <si>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</si>
  <si>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</si>
  <si>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</si>
  <si>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</si>
  <si>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</si>
  <si>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</si>
  <si>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</si>
  <si>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</si>
  <si>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</si>
  <si>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</si>
  <si>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</si>
  <si>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</si>
  <si>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</si>
  <si>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</si>
  <si>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</si>
  <si>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</si>
  <si>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</si>
  <si>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</si>
  <si>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</si>
  <si>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</si>
  <si>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</si>
  <si>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</si>
  <si>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</si>
  <si>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</si>
  <si>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</si>
  <si>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</si>
  <si>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</si>
  <si>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</si>
  <si>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</si>
  <si>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</si>
  <si>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</si>
  <si>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</si>
  <si>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</si>
  <si>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</si>
  <si>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</si>
  <si>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</si>
  <si>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</si>
  <si>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</si>
  <si>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</si>
  <si>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</si>
  <si>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</si>
  <si>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</si>
  <si>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</si>
  <si>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</si>
  <si>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</si>
  <si>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</si>
  <si>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</si>
  <si>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</si>
  <si>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</si>
  <si>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</si>
  <si>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</si>
  <si>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</si>
  <si>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</si>
  <si>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</si>
  <si>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</si>
  <si>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</si>
  <si>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</si>
  <si>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</si>
  <si>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</si>
  <si>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</si>
  <si>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</si>
  <si>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</si>
  <si>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</si>
  <si>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</si>
  <si>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</si>
  <si>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</si>
  <si>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</si>
  <si>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</si>
  <si>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</si>
  <si>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</si>
  <si>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</si>
  <si>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</si>
  <si>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</si>
  <si>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</si>
  <si>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</si>
  <si>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</si>
  <si>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</si>
  <si>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</si>
  <si>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</si>
  <si>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</si>
  <si>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</si>
  <si>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</si>
  <si>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</si>
  <si>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</si>
  <si>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</si>
  <si>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</si>
  <si>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</si>
  <si>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</si>
  <si>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</si>
  <si>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</si>
  <si>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</si>
  <si>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</si>
  <si>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</si>
  <si>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</si>
  <si>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</si>
  <si>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</si>
  <si>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</si>
  <si>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</si>
  <si>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</si>
  <si>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</si>
  <si>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</si>
  <si>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</si>
  <si>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</si>
  <si>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</si>
  <si>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</si>
  <si>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</si>
  <si>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</si>
  <si>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</si>
  <si>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</si>
  <si>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</si>
  <si>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</si>
  <si>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</si>
  <si>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</si>
  <si>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</si>
  <si>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</si>
  <si>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</si>
  <si>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</si>
  <si>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</si>
  <si>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</si>
  <si>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</si>
  <si>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</si>
  <si>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</si>
  <si>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</si>
  <si>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</si>
  <si>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</si>
  <si>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</si>
  <si>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</si>
  <si>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</si>
  <si>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</si>
  <si>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</si>
  <si>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</si>
  <si>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</si>
  <si>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</si>
  <si>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</si>
  <si>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</si>
  <si>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</si>
  <si>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</si>
  <si>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</si>
  <si>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</si>
  <si>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</si>
  <si>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</si>
  <si>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</si>
  <si>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</si>
  <si>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</si>
  <si>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</si>
  <si>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</si>
  <si>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</si>
  <si>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</si>
  <si>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</si>
  <si>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</si>
  <si>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</si>
  <si>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</si>
  <si>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</si>
  <si>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</si>
  <si>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</si>
  <si>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</si>
  <si>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</si>
  <si>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</si>
  <si>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</si>
  <si>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</si>
  <si>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</si>
  <si>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</si>
  <si>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</si>
  <si>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</si>
  <si>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</si>
  <si>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</si>
  <si>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</si>
  <si>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</si>
  <si>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</si>
  <si>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</si>
  <si>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</si>
  <si>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</si>
  <si>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</si>
  <si>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</si>
  <si>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</si>
  <si>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</si>
  <si>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</si>
  <si>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</si>
  <si>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</si>
  <si>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</si>
  <si>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</si>
  <si>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</si>
  <si>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</si>
  <si>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</si>
  <si>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</si>
  <si>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</si>
  <si>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</si>
  <si>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</si>
  <si>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</si>
  <si>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</si>
  <si>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</si>
  <si>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</si>
  <si>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</si>
  <si>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</si>
  <si>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</si>
  <si>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</si>
  <si>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</si>
  <si>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</si>
  <si>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</si>
  <si>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</si>
  <si>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</si>
  <si>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</si>
  <si>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</si>
  <si>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</si>
  <si>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</si>
  <si>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</si>
  <si>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</si>
  <si>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</si>
  <si>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</si>
  <si>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</si>
  <si>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</si>
  <si>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</si>
  <si>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</si>
  <si>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</si>
  <si>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</si>
  <si>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</si>
  <si>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</si>
  <si>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</si>
  <si>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</si>
  <si>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</si>
  <si>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</si>
  <si>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</si>
  <si>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</si>
  <si>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</si>
  <si>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</si>
  <si>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</si>
  <si>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</si>
  <si>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</si>
  <si>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</si>
  <si>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</si>
  <si>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</si>
  <si>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</si>
  <si>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</si>
  <si>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</si>
  <si>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</si>
  <si>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</si>
  <si>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</si>
  <si>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</si>
  <si>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</si>
  <si>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</si>
  <si>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</si>
  <si>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</si>
  <si>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</si>
  <si>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</si>
  <si>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</si>
  <si>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</si>
  <si>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</si>
  <si>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</si>
  <si>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</si>
  <si>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</si>
  <si>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</si>
  <si>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</si>
  <si>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</si>
  <si>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آتی اردیبهشت خرید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</si>
  <si>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</si>
  <si>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</si>
  <si>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</si>
  <si>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</si>
  <si>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</si>
  <si>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</si>
  <si>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بورس آتی</t>
  </si>
  <si>
    <t>تاریخ های مهم</t>
  </si>
  <si>
    <t>22/2</t>
  </si>
  <si>
    <t>22/6</t>
  </si>
  <si>
    <t>برجام</t>
  </si>
  <si>
    <t>برجام و پایان یکساله بانکها</t>
  </si>
  <si>
    <t>1/2/1397</t>
  </si>
  <si>
    <t>خرج سفر مشهد</t>
  </si>
  <si>
    <t>5/2/1397</t>
  </si>
  <si>
    <t>به بانک سامان</t>
  </si>
  <si>
    <t>6/2/1397</t>
  </si>
  <si>
    <t>روز 5/2 به مسکن یاران مریم انتقال دادم از کارت ایلیا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</si>
</sst>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4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4" workbookViewId="0">
      <selection activeCell="E35" sqref="E35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9" width="16.14062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1257</v>
      </c>
      <c r="B2" s="119">
        <f>'فروردین 97'!B24</f>
        <v>909916</v>
      </c>
      <c r="C2" s="1">
        <f>'فروردین 97'!C24</f>
        <v>818994</v>
      </c>
      <c r="D2" s="119">
        <f>B2-C2</f>
        <v>90922</v>
      </c>
      <c r="E2" s="118" t="s">
        <v>59</v>
      </c>
      <c r="F2" s="102">
        <v>30</v>
      </c>
      <c r="G2" s="102">
        <f>B2*F2</f>
        <v>27297480</v>
      </c>
      <c r="H2" s="102">
        <f>C2*F2</f>
        <v>24569820</v>
      </c>
      <c r="I2" s="102">
        <f>D2*F2</f>
        <v>2727660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1269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1090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1108</v>
      </c>
      <c r="B4" s="18">
        <v>0</v>
      </c>
      <c r="C4" s="18">
        <v>0</v>
      </c>
      <c r="D4" s="119">
        <f t="shared" si="0"/>
        <v>0</v>
      </c>
      <c r="E4" s="105"/>
      <c r="F4" s="102">
        <v>17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1158</v>
      </c>
      <c r="B5" s="18">
        <v>0</v>
      </c>
      <c r="C5" s="18">
        <v>0</v>
      </c>
      <c r="D5" s="119">
        <f t="shared" si="0"/>
        <v>0</v>
      </c>
      <c r="E5" s="20"/>
      <c r="F5" s="102">
        <v>12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1158</v>
      </c>
      <c r="B6" s="18">
        <v>0</v>
      </c>
      <c r="C6" s="18">
        <v>0</v>
      </c>
      <c r="D6" s="119">
        <f t="shared" si="0"/>
        <v>0</v>
      </c>
      <c r="E6" s="19"/>
      <c r="F6" s="102">
        <v>12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>
        <v>0</v>
      </c>
      <c r="B7" s="18">
        <v>0</v>
      </c>
      <c r="C7" s="18">
        <v>0</v>
      </c>
      <c r="D7" s="119">
        <f t="shared" si="0"/>
        <v>0</v>
      </c>
      <c r="E7" s="19"/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>
        <v>0</v>
      </c>
      <c r="B8" s="18">
        <v>0</v>
      </c>
      <c r="C8" s="18">
        <v>0</v>
      </c>
      <c r="D8" s="119">
        <f t="shared" si="0"/>
        <v>0</v>
      </c>
      <c r="E8" s="19"/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>
        <v>0</v>
      </c>
      <c r="B9" s="18">
        <v>0</v>
      </c>
      <c r="C9" s="18">
        <v>0</v>
      </c>
      <c r="D9" s="119">
        <f t="shared" si="0"/>
        <v>0</v>
      </c>
      <c r="E9" s="21"/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>
        <v>0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>
        <v>0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>
        <v>0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>
        <v>0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>
        <v>0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0">
        <v>0</v>
      </c>
      <c r="B15" s="18">
        <v>0</v>
      </c>
      <c r="C15" s="18">
        <v>0</v>
      </c>
      <c r="D15" s="119">
        <f t="shared" si="0"/>
        <v>0</v>
      </c>
      <c r="E15" s="20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7733998</v>
      </c>
      <c r="C24" s="119">
        <f>SUM(C2:C22)</f>
        <v>7643076</v>
      </c>
      <c r="D24" s="119">
        <f>SUM(D2:D22)</f>
        <v>90922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218371776</v>
      </c>
      <c r="H25" s="18">
        <f>SUM(H2:H23)</f>
        <v>215644116</v>
      </c>
      <c r="I25" s="18">
        <f>SUM(I2:I23)</f>
        <v>2727660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f>G25*100000/365000000</f>
        <v>59827.883835616442</v>
      </c>
      <c r="H30" s="18">
        <f>G30*H25/G25</f>
        <v>59080.579726027405</v>
      </c>
      <c r="I30" s="18">
        <f>G30*I25/G25</f>
        <v>747.30410958904122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1262</v>
      </c>
      <c r="F31" s="102"/>
      <c r="G31" s="9" t="s">
        <v>1053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1263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18">
      <c r="A33" s="102"/>
      <c r="B33" s="102"/>
      <c r="C33" s="102"/>
      <c r="D33" s="42">
        <v>5559526</v>
      </c>
      <c r="E33" s="41" t="s">
        <v>1272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18">
      <c r="A34" s="102"/>
      <c r="B34" s="102"/>
      <c r="C34" s="102"/>
      <c r="D34" s="42">
        <v>-3000000</v>
      </c>
      <c r="E34" s="41" t="s">
        <v>1286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18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18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18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18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18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18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18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18">
      <c r="A42" s="102"/>
      <c r="B42" s="102"/>
      <c r="C42" s="102"/>
      <c r="D42" s="120">
        <f>SUM(D30:D39)</f>
        <v>15405900</v>
      </c>
      <c r="E42" s="102" t="s">
        <v>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18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18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</row>
    <row r="45" spans="1:18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</row>
    <row r="46" spans="1:18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</row>
    <row r="47" spans="1:18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</row>
    <row r="48" spans="1:18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F155" sqref="F15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744</v>
      </c>
      <c r="H2" s="36">
        <f>IF(B2&gt;0,1,0)</f>
        <v>1</v>
      </c>
      <c r="I2" s="11">
        <f>B2*(G2-H2)</f>
        <v>12408100</v>
      </c>
      <c r="J2" s="53">
        <f>C2*(G2-H2)</f>
        <v>12408100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743</v>
      </c>
      <c r="H3" s="36">
        <f t="shared" ref="H3:H66" si="2">IF(B3&gt;0,1,0)</f>
        <v>1</v>
      </c>
      <c r="I3" s="11">
        <f t="shared" ref="I3:I66" si="3">B3*(G3-H3)</f>
        <v>14765800000</v>
      </c>
      <c r="J3" s="53">
        <f t="shared" ref="J3:J66" si="4">C3*(G3-H3)</f>
        <v>8449154000</v>
      </c>
      <c r="K3" s="53">
        <f t="shared" ref="K3:K66" si="5">D3*(G3-H3)</f>
        <v>6316646000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743</v>
      </c>
      <c r="H4" s="36">
        <f t="shared" si="2"/>
        <v>0</v>
      </c>
      <c r="I4" s="11">
        <f t="shared" si="3"/>
        <v>0</v>
      </c>
      <c r="J4" s="53">
        <f t="shared" si="4"/>
        <v>6315500</v>
      </c>
      <c r="K4" s="53">
        <f t="shared" si="5"/>
        <v>-6315500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741</v>
      </c>
      <c r="H5" s="36">
        <f t="shared" si="2"/>
        <v>1</v>
      </c>
      <c r="I5" s="11">
        <f t="shared" si="3"/>
        <v>1480000000</v>
      </c>
      <c r="J5" s="53">
        <f t="shared" si="4"/>
        <v>0</v>
      </c>
      <c r="K5" s="53">
        <f t="shared" si="5"/>
        <v>1480000000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734</v>
      </c>
      <c r="H6" s="36">
        <f t="shared" si="2"/>
        <v>0</v>
      </c>
      <c r="I6" s="11">
        <f t="shared" si="3"/>
        <v>-3670000</v>
      </c>
      <c r="J6" s="53">
        <f t="shared" si="4"/>
        <v>0</v>
      </c>
      <c r="K6" s="53">
        <f t="shared" si="5"/>
        <v>-3670000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730</v>
      </c>
      <c r="H7" s="36">
        <f t="shared" si="2"/>
        <v>0</v>
      </c>
      <c r="I7" s="11">
        <f t="shared" si="3"/>
        <v>-876365000</v>
      </c>
      <c r="J7" s="53">
        <f t="shared" si="4"/>
        <v>0</v>
      </c>
      <c r="K7" s="53">
        <f t="shared" si="5"/>
        <v>-876365000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729</v>
      </c>
      <c r="H8" s="36">
        <f t="shared" si="2"/>
        <v>0</v>
      </c>
      <c r="I8" s="11">
        <f t="shared" si="3"/>
        <v>-145800000</v>
      </c>
      <c r="J8" s="53">
        <f t="shared" si="4"/>
        <v>0</v>
      </c>
      <c r="K8" s="53">
        <f t="shared" si="5"/>
        <v>-145800000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727</v>
      </c>
      <c r="H9" s="36">
        <f t="shared" si="2"/>
        <v>0</v>
      </c>
      <c r="I9" s="11">
        <f t="shared" si="3"/>
        <v>-512898500</v>
      </c>
      <c r="J9" s="53">
        <f t="shared" si="4"/>
        <v>0</v>
      </c>
      <c r="K9" s="53">
        <f t="shared" si="5"/>
        <v>-512898500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718</v>
      </c>
      <c r="H10" s="36">
        <f t="shared" si="2"/>
        <v>0</v>
      </c>
      <c r="I10" s="11">
        <f t="shared" si="3"/>
        <v>-143600000</v>
      </c>
      <c r="J10" s="53">
        <f t="shared" si="4"/>
        <v>0</v>
      </c>
      <c r="K10" s="53">
        <f t="shared" si="5"/>
        <v>-143600000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718</v>
      </c>
      <c r="H11" s="36">
        <f t="shared" si="2"/>
        <v>1</v>
      </c>
      <c r="I11" s="11">
        <f t="shared" si="3"/>
        <v>717000000</v>
      </c>
      <c r="J11" s="53">
        <f t="shared" si="4"/>
        <v>0</v>
      </c>
      <c r="K11" s="53">
        <f t="shared" si="5"/>
        <v>717000000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714</v>
      </c>
      <c r="H12" s="36">
        <f t="shared" si="2"/>
        <v>0</v>
      </c>
      <c r="I12" s="11">
        <f t="shared" si="3"/>
        <v>-214200000</v>
      </c>
      <c r="J12" s="53">
        <f t="shared" si="4"/>
        <v>0</v>
      </c>
      <c r="K12" s="53">
        <f t="shared" si="5"/>
        <v>-214200000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709</v>
      </c>
      <c r="H13" s="36">
        <f t="shared" si="2"/>
        <v>0</v>
      </c>
      <c r="I13" s="11">
        <f t="shared" si="3"/>
        <v>-43958000</v>
      </c>
      <c r="J13" s="53">
        <f t="shared" si="4"/>
        <v>0</v>
      </c>
      <c r="K13" s="53">
        <f t="shared" si="5"/>
        <v>-43958000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709</v>
      </c>
      <c r="H14" s="36">
        <f t="shared" si="2"/>
        <v>1</v>
      </c>
      <c r="I14" s="11">
        <f t="shared" si="3"/>
        <v>1416000000</v>
      </c>
      <c r="J14" s="53">
        <f t="shared" si="4"/>
        <v>0</v>
      </c>
      <c r="K14" s="53">
        <f t="shared" si="5"/>
        <v>1416000000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708</v>
      </c>
      <c r="H15" s="36">
        <f t="shared" si="2"/>
        <v>1</v>
      </c>
      <c r="I15" s="11">
        <f t="shared" si="3"/>
        <v>1272600000</v>
      </c>
      <c r="J15" s="53">
        <f t="shared" si="4"/>
        <v>0</v>
      </c>
      <c r="K15" s="53">
        <f t="shared" si="5"/>
        <v>1272600000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708</v>
      </c>
      <c r="H16" s="36">
        <f t="shared" si="2"/>
        <v>0</v>
      </c>
      <c r="I16" s="11">
        <f t="shared" si="3"/>
        <v>-141600000</v>
      </c>
      <c r="J16" s="53">
        <f t="shared" si="4"/>
        <v>0</v>
      </c>
      <c r="K16" s="53">
        <f t="shared" si="5"/>
        <v>-141600000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704</v>
      </c>
      <c r="H17" s="36">
        <f t="shared" si="2"/>
        <v>0</v>
      </c>
      <c r="I17" s="11">
        <f t="shared" si="3"/>
        <v>-1408000000</v>
      </c>
      <c r="J17" s="53">
        <f t="shared" si="4"/>
        <v>0</v>
      </c>
      <c r="K17" s="53">
        <f t="shared" si="5"/>
        <v>-1408000000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703</v>
      </c>
      <c r="H18" s="36">
        <f t="shared" si="2"/>
        <v>0</v>
      </c>
      <c r="I18" s="11">
        <f t="shared" si="3"/>
        <v>-210900000</v>
      </c>
      <c r="J18" s="53">
        <f t="shared" si="4"/>
        <v>0</v>
      </c>
      <c r="K18" s="53">
        <f t="shared" si="5"/>
        <v>-210900000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702</v>
      </c>
      <c r="H19" s="36">
        <f t="shared" si="2"/>
        <v>0</v>
      </c>
      <c r="I19" s="11">
        <f t="shared" si="3"/>
        <v>-140400000</v>
      </c>
      <c r="J19" s="53">
        <f t="shared" si="4"/>
        <v>0</v>
      </c>
      <c r="K19" s="53">
        <f t="shared" si="5"/>
        <v>-140400000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700</v>
      </c>
      <c r="H20" s="36">
        <f t="shared" si="2"/>
        <v>1</v>
      </c>
      <c r="I20" s="11">
        <f t="shared" si="3"/>
        <v>189491211</v>
      </c>
      <c r="J20" s="53">
        <f t="shared" si="4"/>
        <v>103068948</v>
      </c>
      <c r="K20" s="53">
        <f t="shared" si="5"/>
        <v>86422263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698</v>
      </c>
      <c r="H21" s="36">
        <f t="shared" si="2"/>
        <v>0</v>
      </c>
      <c r="I21" s="11">
        <f t="shared" si="3"/>
        <v>-1050978600</v>
      </c>
      <c r="J21" s="53">
        <f t="shared" si="4"/>
        <v>0</v>
      </c>
      <c r="K21" s="53">
        <f t="shared" si="5"/>
        <v>-1050978600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695</v>
      </c>
      <c r="H22" s="36">
        <f t="shared" si="2"/>
        <v>1</v>
      </c>
      <c r="I22" s="11">
        <f t="shared" si="3"/>
        <v>2082000000</v>
      </c>
      <c r="J22" s="53">
        <f t="shared" si="4"/>
        <v>0</v>
      </c>
      <c r="K22" s="53">
        <f t="shared" si="5"/>
        <v>2082000000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694</v>
      </c>
      <c r="H23" s="36">
        <f t="shared" si="2"/>
        <v>1</v>
      </c>
      <c r="I23" s="11">
        <f t="shared" si="3"/>
        <v>693000000</v>
      </c>
      <c r="J23" s="53">
        <f t="shared" si="4"/>
        <v>0</v>
      </c>
      <c r="K23" s="53">
        <f t="shared" si="5"/>
        <v>693000000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693</v>
      </c>
      <c r="H24" s="36">
        <f t="shared" si="2"/>
        <v>0</v>
      </c>
      <c r="I24" s="11">
        <f t="shared" si="3"/>
        <v>-2079623700</v>
      </c>
      <c r="J24" s="53">
        <f t="shared" si="4"/>
        <v>0</v>
      </c>
      <c r="K24" s="53">
        <f t="shared" si="5"/>
        <v>-2079623700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678</v>
      </c>
      <c r="H25" s="36">
        <f t="shared" si="2"/>
        <v>1</v>
      </c>
      <c r="I25" s="11">
        <f t="shared" si="3"/>
        <v>1015500000</v>
      </c>
      <c r="J25" s="53">
        <f t="shared" si="4"/>
        <v>0</v>
      </c>
      <c r="K25" s="53">
        <f t="shared" si="5"/>
        <v>1015500000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670</v>
      </c>
      <c r="H26" s="36">
        <f t="shared" si="2"/>
        <v>0</v>
      </c>
      <c r="I26" s="11">
        <f t="shared" si="3"/>
        <v>-109880000</v>
      </c>
      <c r="J26" s="53">
        <f t="shared" si="4"/>
        <v>0</v>
      </c>
      <c r="K26" s="53">
        <f t="shared" si="5"/>
        <v>-109880000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669</v>
      </c>
      <c r="H27" s="36">
        <f t="shared" si="2"/>
        <v>1</v>
      </c>
      <c r="I27" s="11">
        <f t="shared" si="3"/>
        <v>133194524</v>
      </c>
      <c r="J27" s="53">
        <f t="shared" si="4"/>
        <v>71751884</v>
      </c>
      <c r="K27" s="53">
        <f t="shared" si="5"/>
        <v>61442640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667</v>
      </c>
      <c r="H28" s="36">
        <f t="shared" si="2"/>
        <v>0</v>
      </c>
      <c r="I28" s="11">
        <f t="shared" si="3"/>
        <v>-147407000</v>
      </c>
      <c r="J28" s="53">
        <f t="shared" si="4"/>
        <v>-147407000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667</v>
      </c>
      <c r="H29" s="36">
        <f t="shared" si="2"/>
        <v>0</v>
      </c>
      <c r="I29" s="11">
        <f t="shared" si="3"/>
        <v>-333833500</v>
      </c>
      <c r="J29" s="53">
        <f t="shared" si="4"/>
        <v>0</v>
      </c>
      <c r="K29" s="53">
        <f t="shared" si="5"/>
        <v>-333833500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667</v>
      </c>
      <c r="H30" s="36">
        <f t="shared" si="2"/>
        <v>0</v>
      </c>
      <c r="I30" s="11">
        <f t="shared" si="3"/>
        <v>-10005000000</v>
      </c>
      <c r="J30" s="53">
        <f t="shared" si="4"/>
        <v>-10005000000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650</v>
      </c>
      <c r="H31" s="36">
        <f t="shared" si="2"/>
        <v>0</v>
      </c>
      <c r="I31" s="11">
        <f t="shared" si="3"/>
        <v>-1957085000</v>
      </c>
      <c r="J31" s="53">
        <f t="shared" si="4"/>
        <v>0</v>
      </c>
      <c r="K31" s="53">
        <f t="shared" si="5"/>
        <v>-1957085000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648</v>
      </c>
      <c r="H32" s="36">
        <f t="shared" si="2"/>
        <v>0</v>
      </c>
      <c r="I32" s="11">
        <f t="shared" si="3"/>
        <v>-1947823200</v>
      </c>
      <c r="J32" s="53">
        <f t="shared" si="4"/>
        <v>0</v>
      </c>
      <c r="K32" s="53">
        <f t="shared" si="5"/>
        <v>-1947823200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647</v>
      </c>
      <c r="H33" s="36">
        <f t="shared" si="2"/>
        <v>0</v>
      </c>
      <c r="I33" s="11">
        <f t="shared" si="3"/>
        <v>-579388500</v>
      </c>
      <c r="J33" s="53">
        <f t="shared" si="4"/>
        <v>0</v>
      </c>
      <c r="K33" s="53">
        <f t="shared" si="5"/>
        <v>-579388500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647</v>
      </c>
      <c r="H34" s="36">
        <f t="shared" si="2"/>
        <v>0</v>
      </c>
      <c r="I34" s="11">
        <f t="shared" si="3"/>
        <v>0</v>
      </c>
      <c r="J34" s="53">
        <f t="shared" si="4"/>
        <v>647000000</v>
      </c>
      <c r="K34" s="53">
        <f t="shared" si="5"/>
        <v>-647000000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638</v>
      </c>
      <c r="H35" s="36">
        <f t="shared" si="2"/>
        <v>1</v>
      </c>
      <c r="I35" s="11">
        <f t="shared" si="3"/>
        <v>33424664</v>
      </c>
      <c r="J35" s="53">
        <f t="shared" si="4"/>
        <v>-13799331</v>
      </c>
      <c r="K35" s="53">
        <f t="shared" si="5"/>
        <v>47223995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638</v>
      </c>
      <c r="H36" s="36">
        <f t="shared" si="2"/>
        <v>0</v>
      </c>
      <c r="I36" s="11">
        <f t="shared" si="3"/>
        <v>0</v>
      </c>
      <c r="J36" s="53">
        <f t="shared" si="4"/>
        <v>13820994</v>
      </c>
      <c r="K36" s="53">
        <f t="shared" si="5"/>
        <v>-13820994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628</v>
      </c>
      <c r="H37" s="36">
        <f t="shared" si="2"/>
        <v>0</v>
      </c>
      <c r="I37" s="11">
        <f t="shared" si="3"/>
        <v>-34540000</v>
      </c>
      <c r="J37" s="53">
        <f t="shared" si="4"/>
        <v>0</v>
      </c>
      <c r="K37" s="53">
        <f t="shared" si="5"/>
        <v>-34540000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627</v>
      </c>
      <c r="H38" s="36">
        <f t="shared" si="2"/>
        <v>1</v>
      </c>
      <c r="I38" s="11">
        <f t="shared" si="3"/>
        <v>1878000000</v>
      </c>
      <c r="J38" s="53">
        <f t="shared" si="4"/>
        <v>1878000000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626</v>
      </c>
      <c r="H39" s="36">
        <f t="shared" si="2"/>
        <v>1</v>
      </c>
      <c r="I39" s="11">
        <f t="shared" si="3"/>
        <v>1562500000</v>
      </c>
      <c r="J39" s="53">
        <f t="shared" si="4"/>
        <v>1562500000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626</v>
      </c>
      <c r="H40" s="36">
        <f t="shared" si="2"/>
        <v>0</v>
      </c>
      <c r="I40" s="11">
        <f t="shared" si="3"/>
        <v>-31300000</v>
      </c>
      <c r="J40" s="53">
        <f t="shared" si="4"/>
        <v>0</v>
      </c>
      <c r="K40" s="53">
        <f t="shared" si="5"/>
        <v>-31300000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626</v>
      </c>
      <c r="H41" s="36">
        <f t="shared" si="2"/>
        <v>1</v>
      </c>
      <c r="I41" s="11">
        <f t="shared" si="3"/>
        <v>1875000000</v>
      </c>
      <c r="J41" s="53">
        <f t="shared" si="4"/>
        <v>0</v>
      </c>
      <c r="K41" s="53">
        <f t="shared" si="5"/>
        <v>1875000000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623</v>
      </c>
      <c r="H42" s="36">
        <f t="shared" si="2"/>
        <v>0</v>
      </c>
      <c r="I42" s="11">
        <f t="shared" si="3"/>
        <v>-55571600</v>
      </c>
      <c r="J42" s="53">
        <f t="shared" si="4"/>
        <v>0</v>
      </c>
      <c r="K42" s="53">
        <f t="shared" si="5"/>
        <v>-55571600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619</v>
      </c>
      <c r="H43" s="36">
        <f t="shared" si="2"/>
        <v>0</v>
      </c>
      <c r="I43" s="11">
        <f t="shared" si="3"/>
        <v>-123800000</v>
      </c>
      <c r="J43" s="53">
        <f t="shared" si="4"/>
        <v>0</v>
      </c>
      <c r="K43" s="53">
        <f t="shared" si="5"/>
        <v>-123800000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617</v>
      </c>
      <c r="H44" s="36">
        <f t="shared" si="2"/>
        <v>0</v>
      </c>
      <c r="I44" s="11">
        <f t="shared" si="3"/>
        <v>-123400000</v>
      </c>
      <c r="J44" s="53">
        <f t="shared" si="4"/>
        <v>0</v>
      </c>
      <c r="K44" s="53">
        <f t="shared" si="5"/>
        <v>-123400000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617</v>
      </c>
      <c r="H45" s="36">
        <f t="shared" si="2"/>
        <v>0</v>
      </c>
      <c r="I45" s="11">
        <f t="shared" si="3"/>
        <v>-345520000</v>
      </c>
      <c r="J45" s="53">
        <f t="shared" si="4"/>
        <v>0</v>
      </c>
      <c r="K45" s="53">
        <f t="shared" si="5"/>
        <v>-345520000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613</v>
      </c>
      <c r="H46" s="36">
        <f t="shared" si="2"/>
        <v>0</v>
      </c>
      <c r="I46" s="11">
        <f t="shared" si="3"/>
        <v>-432471500</v>
      </c>
      <c r="J46" s="53">
        <f t="shared" si="4"/>
        <v>0</v>
      </c>
      <c r="K46" s="53">
        <f t="shared" si="5"/>
        <v>-432471500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607</v>
      </c>
      <c r="H47" s="36">
        <f t="shared" si="2"/>
        <v>1</v>
      </c>
      <c r="I47" s="11">
        <f t="shared" si="3"/>
        <v>24969624</v>
      </c>
      <c r="J47" s="53">
        <f t="shared" si="4"/>
        <v>4068078</v>
      </c>
      <c r="K47" s="53">
        <f t="shared" si="5"/>
        <v>20901546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607</v>
      </c>
      <c r="H48" s="36">
        <f t="shared" si="2"/>
        <v>1</v>
      </c>
      <c r="I48" s="11">
        <f t="shared" si="3"/>
        <v>1033048200</v>
      </c>
      <c r="J48" s="53">
        <f t="shared" si="4"/>
        <v>0</v>
      </c>
      <c r="K48" s="53">
        <f t="shared" si="5"/>
        <v>1033048200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598</v>
      </c>
      <c r="H49" s="36">
        <f t="shared" si="2"/>
        <v>0</v>
      </c>
      <c r="I49" s="11">
        <f t="shared" si="3"/>
        <v>-92690000</v>
      </c>
      <c r="J49" s="53">
        <f t="shared" si="4"/>
        <v>0</v>
      </c>
      <c r="K49" s="53">
        <f t="shared" si="5"/>
        <v>-92690000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598</v>
      </c>
      <c r="H50" s="36">
        <f t="shared" si="2"/>
        <v>0</v>
      </c>
      <c r="I50" s="11">
        <f t="shared" si="3"/>
        <v>-82524000</v>
      </c>
      <c r="J50" s="53">
        <f t="shared" si="4"/>
        <v>0</v>
      </c>
      <c r="K50" s="53">
        <f t="shared" si="5"/>
        <v>-82524000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598</v>
      </c>
      <c r="H51" s="36">
        <f t="shared" si="2"/>
        <v>0</v>
      </c>
      <c r="I51" s="11">
        <f t="shared" si="3"/>
        <v>-442520000</v>
      </c>
      <c r="J51" s="53">
        <f t="shared" si="4"/>
        <v>0</v>
      </c>
      <c r="K51" s="53">
        <f t="shared" si="5"/>
        <v>-442520000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598</v>
      </c>
      <c r="H52" s="36">
        <f t="shared" si="2"/>
        <v>0</v>
      </c>
      <c r="I52" s="11">
        <f t="shared" si="3"/>
        <v>-119600000</v>
      </c>
      <c r="J52" s="53">
        <f t="shared" si="4"/>
        <v>0</v>
      </c>
      <c r="K52" s="53">
        <f t="shared" si="5"/>
        <v>-119600000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597</v>
      </c>
      <c r="H53" s="36">
        <f t="shared" si="2"/>
        <v>0</v>
      </c>
      <c r="I53" s="11">
        <f t="shared" si="3"/>
        <v>-629835000</v>
      </c>
      <c r="J53" s="53">
        <f t="shared" si="4"/>
        <v>0</v>
      </c>
      <c r="K53" s="53">
        <f t="shared" si="5"/>
        <v>-629835000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597</v>
      </c>
      <c r="H54" s="36">
        <f t="shared" si="2"/>
        <v>0</v>
      </c>
      <c r="I54" s="11">
        <f t="shared" si="3"/>
        <v>-119400000</v>
      </c>
      <c r="J54" s="53">
        <f t="shared" si="4"/>
        <v>0</v>
      </c>
      <c r="K54" s="53">
        <f t="shared" si="5"/>
        <v>-119400000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597</v>
      </c>
      <c r="H55" s="36">
        <f t="shared" si="2"/>
        <v>0</v>
      </c>
      <c r="I55" s="11">
        <f t="shared" si="3"/>
        <v>-597298500</v>
      </c>
      <c r="J55" s="53">
        <f t="shared" si="4"/>
        <v>0</v>
      </c>
      <c r="K55" s="53">
        <f t="shared" si="5"/>
        <v>-597298500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597</v>
      </c>
      <c r="H56" s="36">
        <f t="shared" si="2"/>
        <v>0</v>
      </c>
      <c r="I56" s="11">
        <f t="shared" si="3"/>
        <v>-22686000</v>
      </c>
      <c r="J56" s="53">
        <f t="shared" si="4"/>
        <v>0</v>
      </c>
      <c r="K56" s="53">
        <f t="shared" si="5"/>
        <v>-22686000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597</v>
      </c>
      <c r="H57" s="36">
        <f t="shared" si="2"/>
        <v>0</v>
      </c>
      <c r="I57" s="11">
        <f t="shared" si="3"/>
        <v>-62685000</v>
      </c>
      <c r="J57" s="53">
        <f t="shared" si="4"/>
        <v>0</v>
      </c>
      <c r="K57" s="53">
        <f t="shared" si="5"/>
        <v>-62685000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597</v>
      </c>
      <c r="H58" s="36">
        <f t="shared" si="2"/>
        <v>0</v>
      </c>
      <c r="I58" s="11">
        <f t="shared" si="3"/>
        <v>-35820000</v>
      </c>
      <c r="J58" s="53">
        <f t="shared" si="4"/>
        <v>0</v>
      </c>
      <c r="K58" s="53">
        <f t="shared" si="5"/>
        <v>-35820000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594</v>
      </c>
      <c r="H59" s="36">
        <f t="shared" si="2"/>
        <v>1</v>
      </c>
      <c r="I59" s="11">
        <f t="shared" si="3"/>
        <v>593000000</v>
      </c>
      <c r="J59" s="53">
        <f t="shared" si="4"/>
        <v>593000000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593</v>
      </c>
      <c r="H60" s="36">
        <f t="shared" si="2"/>
        <v>1</v>
      </c>
      <c r="I60" s="11">
        <f t="shared" si="3"/>
        <v>2072000000</v>
      </c>
      <c r="J60" s="53">
        <f t="shared" si="4"/>
        <v>2072000000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591</v>
      </c>
      <c r="H61" s="36">
        <f t="shared" si="2"/>
        <v>1</v>
      </c>
      <c r="I61" s="11">
        <f t="shared" si="3"/>
        <v>590000000</v>
      </c>
      <c r="J61" s="53">
        <f t="shared" si="4"/>
        <v>590000000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591</v>
      </c>
      <c r="H62" s="36">
        <f t="shared" si="2"/>
        <v>1</v>
      </c>
      <c r="I62" s="11">
        <f t="shared" si="3"/>
        <v>1770000000</v>
      </c>
      <c r="J62" s="53">
        <f t="shared" si="4"/>
        <v>1770000000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589</v>
      </c>
      <c r="H63" s="36">
        <f t="shared" si="2"/>
        <v>0</v>
      </c>
      <c r="I63" s="11">
        <f t="shared" si="3"/>
        <v>-117800000</v>
      </c>
      <c r="J63" s="53">
        <f t="shared" si="4"/>
        <v>0</v>
      </c>
      <c r="K63" s="53">
        <f t="shared" si="5"/>
        <v>-117800000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584</v>
      </c>
      <c r="H64" s="36">
        <f t="shared" si="2"/>
        <v>0</v>
      </c>
      <c r="I64" s="11">
        <f t="shared" si="3"/>
        <v>-29200000</v>
      </c>
      <c r="J64" s="53">
        <f t="shared" si="4"/>
        <v>0</v>
      </c>
      <c r="K64" s="53">
        <f t="shared" si="5"/>
        <v>-29200000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580</v>
      </c>
      <c r="H65" s="36">
        <f t="shared" si="2"/>
        <v>0</v>
      </c>
      <c r="I65" s="11">
        <f t="shared" si="3"/>
        <v>-116000000</v>
      </c>
      <c r="J65" s="53">
        <f t="shared" si="4"/>
        <v>0</v>
      </c>
      <c r="K65" s="53">
        <f t="shared" si="5"/>
        <v>-116000000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577</v>
      </c>
      <c r="H66" s="36">
        <f t="shared" si="2"/>
        <v>0</v>
      </c>
      <c r="I66" s="11">
        <f t="shared" si="3"/>
        <v>-98090000</v>
      </c>
      <c r="J66" s="53">
        <f t="shared" si="4"/>
        <v>0</v>
      </c>
      <c r="K66" s="53">
        <f t="shared" si="5"/>
        <v>-98090000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576</v>
      </c>
      <c r="H67" s="36">
        <f t="shared" ref="H67:H131" si="8">IF(B67&gt;0,1,0)</f>
        <v>1</v>
      </c>
      <c r="I67" s="11">
        <f t="shared" ref="I67:I119" si="9">B67*(G67-H67)</f>
        <v>52511875</v>
      </c>
      <c r="J67" s="53">
        <f t="shared" ref="J67:J131" si="10">C67*(G67-H67)</f>
        <v>37790725</v>
      </c>
      <c r="K67" s="53">
        <f t="shared" ref="K67:K131" si="11">D67*(G67-H67)</f>
        <v>14721150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558</v>
      </c>
      <c r="H68" s="36">
        <f t="shared" si="8"/>
        <v>0</v>
      </c>
      <c r="I68" s="11">
        <f t="shared" si="9"/>
        <v>-80910000</v>
      </c>
      <c r="J68" s="53">
        <f t="shared" si="10"/>
        <v>0</v>
      </c>
      <c r="K68" s="53">
        <f t="shared" si="11"/>
        <v>-80910000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551</v>
      </c>
      <c r="H69" s="36">
        <f t="shared" si="8"/>
        <v>1</v>
      </c>
      <c r="I69" s="11">
        <f t="shared" si="9"/>
        <v>539000000</v>
      </c>
      <c r="J69" s="53">
        <f t="shared" si="10"/>
        <v>0</v>
      </c>
      <c r="K69" s="53">
        <f t="shared" si="11"/>
        <v>539000000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548</v>
      </c>
      <c r="H70" s="36">
        <f t="shared" si="8"/>
        <v>0</v>
      </c>
      <c r="I70" s="11">
        <f t="shared" si="9"/>
        <v>-25208000</v>
      </c>
      <c r="J70" s="53">
        <f t="shared" si="10"/>
        <v>0</v>
      </c>
      <c r="K70" s="53">
        <f t="shared" si="11"/>
        <v>-25208000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546</v>
      </c>
      <c r="H71" s="36">
        <f t="shared" si="8"/>
        <v>1</v>
      </c>
      <c r="I71" s="11">
        <f t="shared" si="9"/>
        <v>62859210</v>
      </c>
      <c r="J71" s="53">
        <f t="shared" si="10"/>
        <v>56577540</v>
      </c>
      <c r="K71" s="53">
        <f t="shared" si="11"/>
        <v>6281670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545</v>
      </c>
      <c r="H72" s="36">
        <f t="shared" si="8"/>
        <v>0</v>
      </c>
      <c r="I72" s="11">
        <f t="shared" si="9"/>
        <v>-82823105</v>
      </c>
      <c r="J72" s="53">
        <f t="shared" si="10"/>
        <v>0</v>
      </c>
      <c r="K72" s="53">
        <f t="shared" si="11"/>
        <v>-82823105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544</v>
      </c>
      <c r="H73" s="36">
        <f t="shared" si="8"/>
        <v>0</v>
      </c>
      <c r="I73" s="11">
        <f t="shared" si="9"/>
        <v>-438192000</v>
      </c>
      <c r="J73" s="53">
        <f t="shared" si="10"/>
        <v>0</v>
      </c>
      <c r="K73" s="53">
        <f t="shared" si="11"/>
        <v>-438192000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537</v>
      </c>
      <c r="H74" s="36">
        <f t="shared" si="8"/>
        <v>1</v>
      </c>
      <c r="I74" s="11">
        <f t="shared" si="9"/>
        <v>3749320000</v>
      </c>
      <c r="J74" s="53">
        <f t="shared" si="10"/>
        <v>0</v>
      </c>
      <c r="K74" s="53">
        <f t="shared" si="11"/>
        <v>3749320000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536</v>
      </c>
      <c r="H75" s="36">
        <f t="shared" si="8"/>
        <v>1</v>
      </c>
      <c r="I75" s="11">
        <f t="shared" si="9"/>
        <v>1605000000</v>
      </c>
      <c r="J75" s="53">
        <f t="shared" si="10"/>
        <v>0</v>
      </c>
      <c r="K75" s="53">
        <f t="shared" si="11"/>
        <v>1605000000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534</v>
      </c>
      <c r="H76" s="36">
        <f t="shared" si="8"/>
        <v>1</v>
      </c>
      <c r="I76" s="11">
        <f t="shared" si="9"/>
        <v>1599000000</v>
      </c>
      <c r="J76" s="53">
        <f t="shared" si="10"/>
        <v>0</v>
      </c>
      <c r="K76" s="53">
        <f t="shared" si="11"/>
        <v>1599000000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533</v>
      </c>
      <c r="H77" s="36">
        <f t="shared" si="8"/>
        <v>1</v>
      </c>
      <c r="I77" s="11">
        <f t="shared" si="9"/>
        <v>1596000000</v>
      </c>
      <c r="J77" s="53">
        <f t="shared" si="10"/>
        <v>0</v>
      </c>
      <c r="K77" s="53">
        <f t="shared" si="11"/>
        <v>1596000000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532</v>
      </c>
      <c r="H78" s="36">
        <f t="shared" si="8"/>
        <v>0</v>
      </c>
      <c r="I78" s="11">
        <f t="shared" si="9"/>
        <v>-1702400000</v>
      </c>
      <c r="J78" s="53">
        <f t="shared" si="10"/>
        <v>-1702400000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531</v>
      </c>
      <c r="H79" s="36">
        <f t="shared" si="8"/>
        <v>0</v>
      </c>
      <c r="I79" s="11">
        <f t="shared" si="9"/>
        <v>-424800000</v>
      </c>
      <c r="J79" s="53">
        <f t="shared" si="10"/>
        <v>-424800000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530</v>
      </c>
      <c r="H80" s="36">
        <f t="shared" si="8"/>
        <v>0</v>
      </c>
      <c r="I80" s="11">
        <f t="shared" si="9"/>
        <v>-25648290</v>
      </c>
      <c r="J80" s="53">
        <f t="shared" si="10"/>
        <v>0</v>
      </c>
      <c r="K80" s="53">
        <f t="shared" si="11"/>
        <v>-25648290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529</v>
      </c>
      <c r="H81" s="36">
        <f t="shared" si="8"/>
        <v>0</v>
      </c>
      <c r="I81" s="11">
        <f t="shared" si="9"/>
        <v>-74060000</v>
      </c>
      <c r="J81" s="53">
        <f t="shared" si="10"/>
        <v>0</v>
      </c>
      <c r="K81" s="53">
        <f t="shared" si="11"/>
        <v>-74060000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528</v>
      </c>
      <c r="H82" s="36">
        <f t="shared" si="8"/>
        <v>0</v>
      </c>
      <c r="I82" s="11">
        <f t="shared" si="9"/>
        <v>-132000000</v>
      </c>
      <c r="J82" s="53">
        <f t="shared" si="10"/>
        <v>0</v>
      </c>
      <c r="K82" s="53">
        <f t="shared" si="11"/>
        <v>-132000000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527</v>
      </c>
      <c r="H83" s="36">
        <f t="shared" si="8"/>
        <v>0</v>
      </c>
      <c r="I83" s="11">
        <f t="shared" si="9"/>
        <v>-105400000</v>
      </c>
      <c r="J83" s="53">
        <f t="shared" si="10"/>
        <v>0</v>
      </c>
      <c r="K83" s="53">
        <f t="shared" si="11"/>
        <v>-105400000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524</v>
      </c>
      <c r="H84" s="36">
        <f t="shared" si="8"/>
        <v>1</v>
      </c>
      <c r="I84" s="11">
        <f t="shared" si="9"/>
        <v>855209600</v>
      </c>
      <c r="J84" s="53">
        <f t="shared" si="10"/>
        <v>0</v>
      </c>
      <c r="K84" s="53">
        <f t="shared" si="11"/>
        <v>855209600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520</v>
      </c>
      <c r="H85" s="36">
        <f t="shared" si="8"/>
        <v>1</v>
      </c>
      <c r="I85" s="11">
        <f t="shared" si="9"/>
        <v>1297500000</v>
      </c>
      <c r="J85" s="53">
        <f t="shared" si="10"/>
        <v>0</v>
      </c>
      <c r="K85" s="53">
        <f t="shared" si="11"/>
        <v>1297500000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516</v>
      </c>
      <c r="H86" s="36">
        <f t="shared" si="8"/>
        <v>1</v>
      </c>
      <c r="I86" s="11">
        <f t="shared" si="9"/>
        <v>95944500</v>
      </c>
      <c r="J86" s="53">
        <f t="shared" si="10"/>
        <v>43749250</v>
      </c>
      <c r="K86" s="53">
        <f t="shared" si="11"/>
        <v>52195250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513</v>
      </c>
      <c r="H87" s="36">
        <f t="shared" si="8"/>
        <v>0</v>
      </c>
      <c r="I87" s="11">
        <f t="shared" si="9"/>
        <v>-102600000</v>
      </c>
      <c r="J87" s="53">
        <f t="shared" si="10"/>
        <v>0</v>
      </c>
      <c r="K87" s="53">
        <f t="shared" si="11"/>
        <v>-102600000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512</v>
      </c>
      <c r="H88" s="36">
        <f t="shared" si="8"/>
        <v>0</v>
      </c>
      <c r="I88" s="11">
        <f t="shared" si="9"/>
        <v>-60416000</v>
      </c>
      <c r="J88" s="53">
        <f t="shared" si="10"/>
        <v>-35328000</v>
      </c>
      <c r="K88" s="53">
        <f t="shared" si="11"/>
        <v>-25088000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504</v>
      </c>
      <c r="H89" s="36">
        <f t="shared" si="8"/>
        <v>0</v>
      </c>
      <c r="I89" s="11">
        <f t="shared" si="9"/>
        <v>-1613253600</v>
      </c>
      <c r="J89" s="53">
        <f t="shared" si="10"/>
        <v>0</v>
      </c>
      <c r="K89" s="53">
        <f t="shared" si="11"/>
        <v>-1613253600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503</v>
      </c>
      <c r="H90" s="36">
        <f t="shared" si="8"/>
        <v>0</v>
      </c>
      <c r="I90" s="11">
        <f t="shared" si="9"/>
        <v>-1610052700</v>
      </c>
      <c r="J90" s="53">
        <f t="shared" si="10"/>
        <v>0</v>
      </c>
      <c r="K90" s="53">
        <f t="shared" si="11"/>
        <v>-1610052700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502</v>
      </c>
      <c r="H91" s="36">
        <f t="shared" si="8"/>
        <v>0</v>
      </c>
      <c r="I91" s="11">
        <f t="shared" si="9"/>
        <v>-1606851800</v>
      </c>
      <c r="J91" s="53">
        <f t="shared" si="10"/>
        <v>0</v>
      </c>
      <c r="K91" s="53">
        <f t="shared" si="11"/>
        <v>-1606851800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501</v>
      </c>
      <c r="H92" s="36">
        <f t="shared" si="8"/>
        <v>0</v>
      </c>
      <c r="I92" s="11">
        <f t="shared" si="9"/>
        <v>-1603650900</v>
      </c>
      <c r="J92" s="53">
        <f t="shared" si="10"/>
        <v>0</v>
      </c>
      <c r="K92" s="53">
        <f t="shared" si="11"/>
        <v>-1603650900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500</v>
      </c>
      <c r="H93" s="36">
        <f t="shared" si="8"/>
        <v>0</v>
      </c>
      <c r="I93" s="11">
        <f t="shared" si="9"/>
        <v>-1600450000</v>
      </c>
      <c r="J93" s="53">
        <f t="shared" si="10"/>
        <v>0</v>
      </c>
      <c r="K93" s="53">
        <f t="shared" si="11"/>
        <v>-1600450000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499</v>
      </c>
      <c r="H94" s="36">
        <f t="shared" si="8"/>
        <v>0</v>
      </c>
      <c r="I94" s="11">
        <f t="shared" si="9"/>
        <v>-1597249100</v>
      </c>
      <c r="J94" s="53">
        <f t="shared" si="10"/>
        <v>0</v>
      </c>
      <c r="K94" s="53">
        <f t="shared" si="11"/>
        <v>-1597249100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497</v>
      </c>
      <c r="H95" s="36">
        <f t="shared" si="8"/>
        <v>0</v>
      </c>
      <c r="I95" s="11">
        <f t="shared" si="9"/>
        <v>-594708212</v>
      </c>
      <c r="J95" s="53">
        <f t="shared" si="10"/>
        <v>0</v>
      </c>
      <c r="K95" s="53">
        <f t="shared" si="11"/>
        <v>-594708212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487</v>
      </c>
      <c r="H96" s="36">
        <f t="shared" si="8"/>
        <v>0</v>
      </c>
      <c r="I96" s="11">
        <f t="shared" si="9"/>
        <v>-97400000</v>
      </c>
      <c r="J96" s="53">
        <f t="shared" si="10"/>
        <v>0</v>
      </c>
      <c r="K96" s="53">
        <f t="shared" si="11"/>
        <v>-97400000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486</v>
      </c>
      <c r="H97" s="36">
        <f t="shared" si="8"/>
        <v>1</v>
      </c>
      <c r="I97" s="11">
        <f t="shared" si="9"/>
        <v>77385630</v>
      </c>
      <c r="J97" s="53">
        <f t="shared" si="10"/>
        <v>33429110</v>
      </c>
      <c r="K97" s="53">
        <f t="shared" si="11"/>
        <v>43956520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481</v>
      </c>
      <c r="H98" s="36">
        <f t="shared" si="8"/>
        <v>1</v>
      </c>
      <c r="I98" s="11">
        <f t="shared" si="9"/>
        <v>54896640</v>
      </c>
      <c r="J98" s="53">
        <f t="shared" si="10"/>
        <v>0</v>
      </c>
      <c r="K98" s="53">
        <f t="shared" si="11"/>
        <v>54896640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478</v>
      </c>
      <c r="H99" s="36">
        <f t="shared" si="8"/>
        <v>0</v>
      </c>
      <c r="I99" s="11">
        <f t="shared" si="9"/>
        <v>-633350000</v>
      </c>
      <c r="J99" s="53">
        <f t="shared" si="10"/>
        <v>0</v>
      </c>
      <c r="K99" s="53">
        <f t="shared" si="11"/>
        <v>-633350000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473</v>
      </c>
      <c r="H100" s="36">
        <f t="shared" si="8"/>
        <v>1</v>
      </c>
      <c r="I100" s="11">
        <f t="shared" si="9"/>
        <v>625400000</v>
      </c>
      <c r="J100" s="53">
        <f t="shared" si="10"/>
        <v>0</v>
      </c>
      <c r="K100" s="53">
        <f t="shared" si="11"/>
        <v>625400000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456</v>
      </c>
      <c r="H101" s="36">
        <f t="shared" si="8"/>
        <v>1</v>
      </c>
      <c r="I101" s="11">
        <f t="shared" si="9"/>
        <v>30414475</v>
      </c>
      <c r="J101" s="53">
        <f t="shared" si="10"/>
        <v>30414475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453</v>
      </c>
      <c r="H102" s="36">
        <f t="shared" si="8"/>
        <v>1</v>
      </c>
      <c r="I102" s="11">
        <f t="shared" si="9"/>
        <v>1356000000</v>
      </c>
      <c r="J102" s="53">
        <f t="shared" si="10"/>
        <v>0</v>
      </c>
      <c r="K102" s="53">
        <f t="shared" si="11"/>
        <v>1356000000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446</v>
      </c>
      <c r="H103" s="36">
        <f t="shared" si="8"/>
        <v>0</v>
      </c>
      <c r="I103" s="11">
        <f t="shared" si="9"/>
        <v>-446000000</v>
      </c>
      <c r="J103" s="53">
        <f t="shared" si="10"/>
        <v>-446000000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436</v>
      </c>
      <c r="H104" s="36">
        <f t="shared" si="8"/>
        <v>1</v>
      </c>
      <c r="I104" s="11">
        <f t="shared" si="9"/>
        <v>1305000000</v>
      </c>
      <c r="J104" s="53">
        <f t="shared" si="10"/>
        <v>1305000000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435</v>
      </c>
      <c r="H105" s="36">
        <f t="shared" si="8"/>
        <v>1</v>
      </c>
      <c r="I105" s="11">
        <f t="shared" si="9"/>
        <v>486080000</v>
      </c>
      <c r="J105" s="53">
        <f t="shared" si="10"/>
        <v>486080000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435</v>
      </c>
      <c r="H106" s="36">
        <f t="shared" si="8"/>
        <v>0</v>
      </c>
      <c r="I106" s="11">
        <f t="shared" si="9"/>
        <v>-1305000000</v>
      </c>
      <c r="J106" s="53">
        <f t="shared" si="10"/>
        <v>0</v>
      </c>
      <c r="K106" s="53">
        <f t="shared" si="11"/>
        <v>-1305000000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426</v>
      </c>
      <c r="H107" s="36">
        <f t="shared" si="8"/>
        <v>1</v>
      </c>
      <c r="I107" s="11">
        <f t="shared" si="9"/>
        <v>38459950</v>
      </c>
      <c r="J107" s="53">
        <f t="shared" si="10"/>
        <v>31923875</v>
      </c>
      <c r="K107" s="53">
        <f t="shared" si="11"/>
        <v>6536075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424</v>
      </c>
      <c r="H108" s="36">
        <f t="shared" si="8"/>
        <v>0</v>
      </c>
      <c r="I108" s="11">
        <f t="shared" si="9"/>
        <v>-721096800</v>
      </c>
      <c r="J108" s="53">
        <f t="shared" si="10"/>
        <v>0</v>
      </c>
      <c r="K108" s="53">
        <f t="shared" si="11"/>
        <v>-721096800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420</v>
      </c>
      <c r="H109" s="36">
        <f t="shared" si="8"/>
        <v>0</v>
      </c>
      <c r="I109" s="11">
        <f t="shared" si="9"/>
        <v>-420210000</v>
      </c>
      <c r="J109" s="53">
        <f t="shared" si="10"/>
        <v>0</v>
      </c>
      <c r="K109" s="53">
        <f t="shared" si="11"/>
        <v>-420210000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417</v>
      </c>
      <c r="H110" s="36">
        <f t="shared" si="8"/>
        <v>1</v>
      </c>
      <c r="I110" s="11">
        <f t="shared" si="9"/>
        <v>8320000000</v>
      </c>
      <c r="J110" s="53">
        <f t="shared" si="10"/>
        <v>0</v>
      </c>
      <c r="K110" s="53">
        <f t="shared" si="11"/>
        <v>8320000000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397</v>
      </c>
      <c r="H111" s="36">
        <f t="shared" si="8"/>
        <v>1</v>
      </c>
      <c r="I111" s="11">
        <f t="shared" si="9"/>
        <v>69172488</v>
      </c>
      <c r="J111" s="53">
        <f t="shared" si="10"/>
        <v>34595748</v>
      </c>
      <c r="K111" s="53">
        <f t="shared" si="11"/>
        <v>34576740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381</v>
      </c>
      <c r="H112" s="36">
        <f t="shared" si="8"/>
        <v>0</v>
      </c>
      <c r="I112" s="11">
        <f t="shared" si="9"/>
        <v>-10820400000</v>
      </c>
      <c r="J112" s="53">
        <f t="shared" si="10"/>
        <v>0</v>
      </c>
      <c r="K112" s="53">
        <f t="shared" si="11"/>
        <v>-10820400000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366</v>
      </c>
      <c r="H113" s="36">
        <f t="shared" si="8"/>
        <v>1</v>
      </c>
      <c r="I113" s="11">
        <f t="shared" si="9"/>
        <v>59509600</v>
      </c>
      <c r="J113" s="53">
        <f t="shared" si="10"/>
        <v>44716515</v>
      </c>
      <c r="K113" s="53">
        <f t="shared" si="11"/>
        <v>14793085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366</v>
      </c>
      <c r="H114" s="36">
        <f t="shared" si="8"/>
        <v>0</v>
      </c>
      <c r="I114" s="11">
        <f t="shared" si="9"/>
        <v>-2086200</v>
      </c>
      <c r="J114" s="53">
        <f t="shared" si="10"/>
        <v>-915000</v>
      </c>
      <c r="K114" s="53">
        <f t="shared" si="11"/>
        <v>-1171200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353</v>
      </c>
      <c r="H115" s="36">
        <f t="shared" si="8"/>
        <v>0</v>
      </c>
      <c r="I115" s="11">
        <f t="shared" si="9"/>
        <v>0</v>
      </c>
      <c r="J115" s="53">
        <f t="shared" si="10"/>
        <v>176500000</v>
      </c>
      <c r="K115" s="53">
        <f t="shared" si="11"/>
        <v>-176500000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345</v>
      </c>
      <c r="H116" s="36">
        <f t="shared" si="8"/>
        <v>0</v>
      </c>
      <c r="I116" s="11">
        <f t="shared" si="9"/>
        <v>-55200000</v>
      </c>
      <c r="J116" s="53">
        <f t="shared" si="10"/>
        <v>0</v>
      </c>
      <c r="K116" s="53">
        <f t="shared" si="11"/>
        <v>-55200000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336</v>
      </c>
      <c r="H117" s="36">
        <f t="shared" si="8"/>
        <v>1</v>
      </c>
      <c r="I117" s="11">
        <f t="shared" si="9"/>
        <v>495800</v>
      </c>
      <c r="J117" s="53">
        <f t="shared" si="10"/>
        <v>35825235</v>
      </c>
      <c r="K117" s="53">
        <f t="shared" si="11"/>
        <v>-35329435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314</v>
      </c>
      <c r="H118" s="36">
        <f t="shared" si="8"/>
        <v>1</v>
      </c>
      <c r="I118" s="11">
        <f t="shared" si="9"/>
        <v>12332043500</v>
      </c>
      <c r="J118" s="53">
        <f t="shared" si="10"/>
        <v>0</v>
      </c>
      <c r="K118" s="53">
        <f t="shared" si="11"/>
        <v>12332043500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305</v>
      </c>
      <c r="H119" s="36">
        <f t="shared" si="8"/>
        <v>1</v>
      </c>
      <c r="I119" s="11">
        <f t="shared" si="9"/>
        <v>29038384</v>
      </c>
      <c r="J119" s="53">
        <f t="shared" si="10"/>
        <v>33456416</v>
      </c>
      <c r="K119" s="53">
        <f t="shared" si="11"/>
        <v>-4418032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301</v>
      </c>
      <c r="H120" s="11">
        <f t="shared" si="8"/>
        <v>1</v>
      </c>
      <c r="I120" s="11">
        <f t="shared" ref="I120:I176" si="13">B120*(G120-H120)</f>
        <v>600000000</v>
      </c>
      <c r="J120" s="11">
        <f t="shared" si="10"/>
        <v>0</v>
      </c>
      <c r="K120" s="11">
        <f t="shared" si="11"/>
        <v>600000000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275</v>
      </c>
      <c r="H121" s="11">
        <f t="shared" si="8"/>
        <v>1</v>
      </c>
      <c r="I121" s="11">
        <f t="shared" si="13"/>
        <v>712400000</v>
      </c>
      <c r="J121" s="11">
        <f t="shared" si="10"/>
        <v>0</v>
      </c>
      <c r="K121" s="11">
        <f t="shared" si="11"/>
        <v>712400000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274</v>
      </c>
      <c r="H122" s="11">
        <f t="shared" si="8"/>
        <v>1</v>
      </c>
      <c r="I122" s="11">
        <f t="shared" si="13"/>
        <v>104982423</v>
      </c>
      <c r="J122" s="11">
        <f t="shared" si="10"/>
        <v>30277884</v>
      </c>
      <c r="K122" s="11">
        <f t="shared" si="11"/>
        <v>74704539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273</v>
      </c>
      <c r="H123" s="11">
        <f t="shared" si="8"/>
        <v>0</v>
      </c>
      <c r="I123" s="11">
        <f t="shared" si="13"/>
        <v>0</v>
      </c>
      <c r="J123" s="11">
        <f t="shared" si="10"/>
        <v>218400000</v>
      </c>
      <c r="K123" s="11">
        <f t="shared" si="11"/>
        <v>-218400000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259</v>
      </c>
      <c r="H124" s="11">
        <f t="shared" si="8"/>
        <v>0</v>
      </c>
      <c r="I124" s="11">
        <f t="shared" si="13"/>
        <v>-777000000</v>
      </c>
      <c r="J124" s="11">
        <f t="shared" si="10"/>
        <v>0</v>
      </c>
      <c r="K124" s="11">
        <f t="shared" si="11"/>
        <v>-777000000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244</v>
      </c>
      <c r="H125" s="11">
        <f t="shared" si="8"/>
        <v>1</v>
      </c>
      <c r="I125" s="11">
        <f t="shared" si="13"/>
        <v>97372530</v>
      </c>
      <c r="J125" s="11">
        <f t="shared" si="10"/>
        <v>28886625</v>
      </c>
      <c r="K125" s="11">
        <f t="shared" si="11"/>
        <v>68485905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244</v>
      </c>
      <c r="H126" s="11">
        <f t="shared" si="8"/>
        <v>1</v>
      </c>
      <c r="I126" s="11">
        <f t="shared" si="13"/>
        <v>10206000000</v>
      </c>
      <c r="J126" s="11">
        <f t="shared" si="10"/>
        <v>0</v>
      </c>
      <c r="K126" s="11">
        <f t="shared" si="11"/>
        <v>10206000000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219</v>
      </c>
      <c r="H127" s="11">
        <f t="shared" si="8"/>
        <v>0</v>
      </c>
      <c r="I127" s="11">
        <f t="shared" si="13"/>
        <v>-1095000</v>
      </c>
      <c r="J127" s="11">
        <f t="shared" si="10"/>
        <v>0</v>
      </c>
      <c r="K127" s="11">
        <f t="shared" si="11"/>
        <v>-1095000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213</v>
      </c>
      <c r="H128" s="11">
        <f t="shared" si="8"/>
        <v>1</v>
      </c>
      <c r="I128" s="11">
        <f t="shared" si="13"/>
        <v>163531288</v>
      </c>
      <c r="J128" s="11">
        <f t="shared" si="10"/>
        <v>25587764</v>
      </c>
      <c r="K128" s="11">
        <f t="shared" si="11"/>
        <v>137943524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210</v>
      </c>
      <c r="H129" s="11">
        <f t="shared" si="8"/>
        <v>1</v>
      </c>
      <c r="I129" s="11">
        <f t="shared" si="13"/>
        <v>522500000</v>
      </c>
      <c r="J129" s="11">
        <f t="shared" si="10"/>
        <v>0</v>
      </c>
      <c r="K129" s="11">
        <f t="shared" si="11"/>
        <v>522500000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196</v>
      </c>
      <c r="H130" s="11">
        <f t="shared" si="8"/>
        <v>0</v>
      </c>
      <c r="I130" s="11">
        <f t="shared" si="13"/>
        <v>-196000000</v>
      </c>
      <c r="J130" s="11">
        <f t="shared" si="10"/>
        <v>-196000000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191</v>
      </c>
      <c r="H131" s="11">
        <f t="shared" si="8"/>
        <v>0</v>
      </c>
      <c r="I131" s="11">
        <f t="shared" si="13"/>
        <v>-9550000000</v>
      </c>
      <c r="J131" s="11">
        <f t="shared" si="10"/>
        <v>0</v>
      </c>
      <c r="K131" s="11">
        <f t="shared" si="11"/>
        <v>-9550000000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183</v>
      </c>
      <c r="H132" s="11">
        <f t="shared" ref="H132:H176" si="15">IF(B132&gt;0,1,0)</f>
        <v>1</v>
      </c>
      <c r="I132" s="11">
        <f t="shared" si="13"/>
        <v>111800234</v>
      </c>
      <c r="J132" s="11">
        <f t="shared" ref="J132:J176" si="16">C132*(G132-H132)</f>
        <v>19286722</v>
      </c>
      <c r="K132" s="11">
        <f t="shared" ref="K132:K176" si="17">D132*(G132-H132)</f>
        <v>92513512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179</v>
      </c>
      <c r="H133" s="11">
        <f t="shared" si="15"/>
        <v>0</v>
      </c>
      <c r="I133" s="11">
        <f t="shared" si="13"/>
        <v>-216715300</v>
      </c>
      <c r="J133" s="11">
        <f t="shared" si="16"/>
        <v>0</v>
      </c>
      <c r="K133" s="11">
        <f t="shared" si="17"/>
        <v>-216715300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170</v>
      </c>
      <c r="H134" s="11">
        <f t="shared" si="15"/>
        <v>0</v>
      </c>
      <c r="I134" s="11">
        <f t="shared" si="13"/>
        <v>-11050000</v>
      </c>
      <c r="J134" s="11">
        <f t="shared" si="16"/>
        <v>0</v>
      </c>
      <c r="K134" s="11">
        <f t="shared" si="17"/>
        <v>-11050000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170</v>
      </c>
      <c r="H135" s="11">
        <f t="shared" si="15"/>
        <v>0</v>
      </c>
      <c r="I135" s="11">
        <f t="shared" si="13"/>
        <v>-5491000</v>
      </c>
      <c r="J135" s="11">
        <f t="shared" si="16"/>
        <v>0</v>
      </c>
      <c r="K135" s="11">
        <f t="shared" si="17"/>
        <v>-5491000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162</v>
      </c>
      <c r="H136" s="11">
        <f t="shared" si="15"/>
        <v>0</v>
      </c>
      <c r="I136" s="11">
        <f t="shared" si="13"/>
        <v>-162000000</v>
      </c>
      <c r="J136" s="11">
        <f t="shared" si="16"/>
        <v>-162000000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153</v>
      </c>
      <c r="H137" s="11">
        <f t="shared" si="15"/>
        <v>1</v>
      </c>
      <c r="I137" s="11">
        <f t="shared" si="13"/>
        <v>44212696</v>
      </c>
      <c r="J137" s="11">
        <f t="shared" si="16"/>
        <v>14798568</v>
      </c>
      <c r="K137" s="11">
        <f t="shared" si="17"/>
        <v>29414128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136</v>
      </c>
      <c r="H138" s="11">
        <f t="shared" si="15"/>
        <v>0</v>
      </c>
      <c r="I138" s="11">
        <f t="shared" si="13"/>
        <v>-136068000</v>
      </c>
      <c r="J138" s="11">
        <f t="shared" si="16"/>
        <v>-136068000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124</v>
      </c>
      <c r="H139" s="11">
        <f t="shared" si="15"/>
        <v>1</v>
      </c>
      <c r="I139" s="11">
        <f t="shared" si="13"/>
        <v>34715520</v>
      </c>
      <c r="J139" s="11">
        <f t="shared" si="16"/>
        <v>10923261</v>
      </c>
      <c r="K139" s="11">
        <f t="shared" si="17"/>
        <v>23792259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121</v>
      </c>
      <c r="H140" s="11">
        <f t="shared" si="15"/>
        <v>1</v>
      </c>
      <c r="I140" s="11">
        <f t="shared" si="13"/>
        <v>180000000</v>
      </c>
      <c r="J140" s="11">
        <f t="shared" si="16"/>
        <v>0</v>
      </c>
      <c r="K140" s="11">
        <f t="shared" si="17"/>
        <v>180000000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108</v>
      </c>
      <c r="H141" s="11">
        <f t="shared" si="15"/>
        <v>0</v>
      </c>
      <c r="I141" s="11">
        <f t="shared" si="13"/>
        <v>0</v>
      </c>
      <c r="J141" s="11">
        <f t="shared" si="16"/>
        <v>-108000000</v>
      </c>
      <c r="K141" s="11">
        <f t="shared" si="17"/>
        <v>108000000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94</v>
      </c>
      <c r="H142" s="11">
        <f t="shared" si="15"/>
        <v>1</v>
      </c>
      <c r="I142" s="11">
        <f t="shared" si="13"/>
        <v>27053049</v>
      </c>
      <c r="J142" s="11">
        <f t="shared" si="16"/>
        <v>7535046</v>
      </c>
      <c r="K142" s="11">
        <f t="shared" si="17"/>
        <v>19518003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74</v>
      </c>
      <c r="H143" s="11">
        <f t="shared" si="15"/>
        <v>0</v>
      </c>
      <c r="I143" s="11">
        <f t="shared" si="13"/>
        <v>0</v>
      </c>
      <c r="J143" s="11">
        <f t="shared" si="16"/>
        <v>-74000000</v>
      </c>
      <c r="K143" s="11">
        <f t="shared" si="17"/>
        <v>74000000</v>
      </c>
      <c r="M143" t="s">
        <v>25</v>
      </c>
    </row>
    <row r="144" spans="1:13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64</v>
      </c>
      <c r="H144" s="11">
        <f t="shared" si="15"/>
        <v>1</v>
      </c>
      <c r="I144" s="11">
        <f t="shared" si="13"/>
        <v>18575676</v>
      </c>
      <c r="J144" s="11">
        <f t="shared" si="16"/>
        <v>4703391</v>
      </c>
      <c r="K144" s="11">
        <f t="shared" si="17"/>
        <v>13872285</v>
      </c>
    </row>
    <row r="145" spans="1:11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49</v>
      </c>
      <c r="H145" s="11">
        <f t="shared" si="15"/>
        <v>0</v>
      </c>
      <c r="I145" s="11">
        <f t="shared" si="13"/>
        <v>-490000</v>
      </c>
      <c r="J145" s="11">
        <f t="shared" si="16"/>
        <v>-245000</v>
      </c>
      <c r="K145" s="11">
        <f t="shared" si="17"/>
        <v>-245000</v>
      </c>
    </row>
    <row r="146" spans="1:11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44</v>
      </c>
      <c r="H146" s="11">
        <f t="shared" si="15"/>
        <v>0</v>
      </c>
      <c r="I146" s="11">
        <f t="shared" si="13"/>
        <v>-44022000</v>
      </c>
      <c r="J146" s="11">
        <f t="shared" si="16"/>
        <v>-44022000</v>
      </c>
      <c r="K146" s="11">
        <f t="shared" si="17"/>
        <v>0</v>
      </c>
    </row>
    <row r="147" spans="1:11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38</v>
      </c>
      <c r="H147" s="11">
        <f t="shared" si="15"/>
        <v>0</v>
      </c>
      <c r="I147" s="11">
        <f t="shared" si="13"/>
        <v>-1026000000</v>
      </c>
      <c r="J147" s="11">
        <f t="shared" si="16"/>
        <v>0</v>
      </c>
      <c r="K147" s="11">
        <f t="shared" si="17"/>
        <v>-1026000000</v>
      </c>
    </row>
    <row r="148" spans="1:11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35</v>
      </c>
      <c r="H148" s="11">
        <f t="shared" si="15"/>
        <v>1</v>
      </c>
      <c r="I148" s="11">
        <f t="shared" si="13"/>
        <v>8582824</v>
      </c>
      <c r="J148" s="11">
        <f t="shared" si="16"/>
        <v>2227340</v>
      </c>
      <c r="K148" s="11">
        <f t="shared" si="17"/>
        <v>6355484</v>
      </c>
    </row>
    <row r="149" spans="1:11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27</v>
      </c>
      <c r="H149" s="11">
        <f t="shared" si="15"/>
        <v>1</v>
      </c>
      <c r="I149" s="11">
        <f t="shared" si="13"/>
        <v>1362400000</v>
      </c>
      <c r="J149" s="11">
        <f t="shared" si="16"/>
        <v>0</v>
      </c>
      <c r="K149" s="11">
        <f t="shared" si="17"/>
        <v>1362400000</v>
      </c>
    </row>
    <row r="150" spans="1:11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20</v>
      </c>
      <c r="H150" s="11">
        <f t="shared" si="15"/>
        <v>0</v>
      </c>
      <c r="I150" s="11">
        <f t="shared" si="13"/>
        <v>-1040000000</v>
      </c>
      <c r="J150" s="11">
        <f t="shared" si="16"/>
        <v>0</v>
      </c>
      <c r="K150" s="11">
        <f t="shared" si="17"/>
        <v>-1040000000</v>
      </c>
    </row>
    <row r="151" spans="1:11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15</v>
      </c>
      <c r="H151" s="105">
        <f t="shared" si="15"/>
        <v>0</v>
      </c>
      <c r="I151" s="105">
        <f t="shared" si="13"/>
        <v>-120000000</v>
      </c>
      <c r="J151" s="105">
        <f t="shared" si="16"/>
        <v>-101581965</v>
      </c>
      <c r="K151" s="11">
        <f t="shared" si="17"/>
        <v>-18418035</v>
      </c>
    </row>
    <row r="152" spans="1:11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1159</v>
      </c>
      <c r="F152" s="11">
        <v>11</v>
      </c>
      <c r="G152" s="36">
        <f t="shared" si="14"/>
        <v>15</v>
      </c>
      <c r="H152" s="105">
        <f t="shared" si="15"/>
        <v>0</v>
      </c>
      <c r="I152" s="105">
        <f t="shared" si="13"/>
        <v>-468450</v>
      </c>
      <c r="J152" s="105">
        <f t="shared" si="16"/>
        <v>0</v>
      </c>
      <c r="K152" s="105">
        <f t="shared" si="17"/>
        <v>-468450</v>
      </c>
    </row>
    <row r="153" spans="1:11">
      <c r="A153" s="105" t="s">
        <v>1257</v>
      </c>
      <c r="B153" s="18">
        <v>130723</v>
      </c>
      <c r="C153" s="18">
        <v>39801</v>
      </c>
      <c r="D153" s="18">
        <f t="shared" si="18"/>
        <v>90922</v>
      </c>
      <c r="E153" s="105" t="s">
        <v>510</v>
      </c>
      <c r="F153" s="105">
        <v>3</v>
      </c>
      <c r="G153" s="36">
        <f t="shared" si="14"/>
        <v>4</v>
      </c>
      <c r="H153" s="105">
        <f t="shared" si="15"/>
        <v>1</v>
      </c>
      <c r="I153" s="105">
        <f t="shared" si="13"/>
        <v>392169</v>
      </c>
      <c r="J153" s="105">
        <f t="shared" si="16"/>
        <v>119403</v>
      </c>
      <c r="K153" s="105">
        <f t="shared" si="17"/>
        <v>272766</v>
      </c>
    </row>
    <row r="154" spans="1:11">
      <c r="A154" s="105" t="s">
        <v>1269</v>
      </c>
      <c r="B154" s="18">
        <v>6824082</v>
      </c>
      <c r="C154" s="18">
        <v>6824082</v>
      </c>
      <c r="D154" s="18">
        <f t="shared" si="18"/>
        <v>0</v>
      </c>
      <c r="E154" s="105" t="s">
        <v>1270</v>
      </c>
      <c r="F154" s="105">
        <v>1</v>
      </c>
      <c r="G154" s="36">
        <f t="shared" si="14"/>
        <v>1</v>
      </c>
      <c r="H154" s="105">
        <f t="shared" si="15"/>
        <v>1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7733638</v>
      </c>
      <c r="C177" s="29">
        <f>SUM(C2:C175)</f>
        <v>7643076</v>
      </c>
      <c r="D177" s="29">
        <f>SUM(D2:D175)</f>
        <v>90562</v>
      </c>
      <c r="E177" s="11"/>
      <c r="F177" s="11"/>
      <c r="G177" s="11"/>
      <c r="H177" s="11"/>
      <c r="I177" s="29">
        <f>SUM(I2:I176)</f>
        <v>18606717327</v>
      </c>
      <c r="J177" s="29">
        <f>SUM(J2:J176)</f>
        <v>6888326101</v>
      </c>
      <c r="K177" s="29">
        <f>SUM(K2:K176)</f>
        <v>11718391226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25009028.665322579</v>
      </c>
      <c r="J180" s="29">
        <f>J177/G2</f>
        <v>9258502.8239247315</v>
      </c>
      <c r="K180" s="29">
        <f>K177/G2</f>
        <v>15750525.84139785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1287201</v>
      </c>
      <c r="G184" t="s">
        <v>25</v>
      </c>
      <c r="J184">
        <f>J177/I177*1448696</f>
        <v>536316.55137436569</v>
      </c>
      <c r="K184">
        <f>K177/I177*1448696</f>
        <v>912379.44862563431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D67" sqref="D67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444</v>
      </c>
      <c r="F2" s="11">
        <f>IF(B2&gt;0,1,0)</f>
        <v>1</v>
      </c>
      <c r="G2" s="11">
        <f>B2*(E2-F2)</f>
        <v>22150000</v>
      </c>
    </row>
    <row r="3" spans="1:7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399</v>
      </c>
      <c r="F3" s="11">
        <f t="shared" ref="F3:F69" si="1">IF(B3&gt;0,1,0)</f>
        <v>1</v>
      </c>
      <c r="G3" s="11">
        <f t="shared" ref="G3:G69" si="2">B3*(E3-F3)</f>
        <v>267854</v>
      </c>
    </row>
    <row r="4" spans="1:7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367</v>
      </c>
      <c r="F4" s="11">
        <f t="shared" si="1"/>
        <v>1</v>
      </c>
      <c r="G4" s="11">
        <f t="shared" si="2"/>
        <v>184098</v>
      </c>
    </row>
    <row r="5" spans="1:7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336</v>
      </c>
      <c r="F5" s="11">
        <f t="shared" si="1"/>
        <v>1</v>
      </c>
      <c r="G5" s="11">
        <f t="shared" si="2"/>
        <v>160130</v>
      </c>
    </row>
    <row r="6" spans="1:7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305</v>
      </c>
      <c r="F6" s="11">
        <f t="shared" si="1"/>
        <v>1</v>
      </c>
      <c r="G6" s="11">
        <f t="shared" si="2"/>
        <v>146528</v>
      </c>
    </row>
    <row r="7" spans="1:7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274</v>
      </c>
      <c r="F7" s="11">
        <f t="shared" si="1"/>
        <v>1</v>
      </c>
      <c r="G7" s="11">
        <f t="shared" si="2"/>
        <v>132951</v>
      </c>
    </row>
    <row r="8" spans="1:7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243</v>
      </c>
      <c r="F8" s="11">
        <f t="shared" si="1"/>
        <v>1</v>
      </c>
      <c r="G8" s="11">
        <f t="shared" si="2"/>
        <v>118822</v>
      </c>
    </row>
    <row r="9" spans="1:7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212</v>
      </c>
      <c r="F9" s="11">
        <f t="shared" si="1"/>
        <v>1</v>
      </c>
      <c r="G9" s="11">
        <f t="shared" si="2"/>
        <v>104656</v>
      </c>
    </row>
    <row r="10" spans="1:7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182</v>
      </c>
      <c r="F10" s="11">
        <f t="shared" si="1"/>
        <v>1</v>
      </c>
      <c r="G10" s="11">
        <f t="shared" si="2"/>
        <v>79640</v>
      </c>
    </row>
    <row r="11" spans="1:7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152</v>
      </c>
      <c r="F11" s="11">
        <f t="shared" si="1"/>
        <v>1</v>
      </c>
      <c r="G11" s="11">
        <f t="shared" si="2"/>
        <v>67044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127</v>
      </c>
      <c r="F12" s="11">
        <f t="shared" si="1"/>
        <v>0</v>
      </c>
      <c r="G12" s="11">
        <f t="shared" si="2"/>
        <v>-1270000</v>
      </c>
    </row>
    <row r="13" spans="1:7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123</v>
      </c>
      <c r="F13" s="11">
        <f t="shared" si="1"/>
        <v>1</v>
      </c>
      <c r="G13" s="11">
        <f t="shared" si="2"/>
        <v>53192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120</v>
      </c>
      <c r="F14" s="11">
        <f t="shared" si="1"/>
        <v>1</v>
      </c>
      <c r="G14" s="11">
        <f t="shared" si="2"/>
        <v>119000000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117</v>
      </c>
      <c r="F15" s="11">
        <f t="shared" si="1"/>
        <v>0</v>
      </c>
      <c r="G15" s="11">
        <f t="shared" si="2"/>
        <v>-11115000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117</v>
      </c>
      <c r="F16" s="11">
        <f t="shared" si="1"/>
        <v>0</v>
      </c>
      <c r="G16" s="11">
        <f t="shared" si="2"/>
        <v>-8260200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117</v>
      </c>
      <c r="F17" s="11">
        <f t="shared" si="1"/>
        <v>0</v>
      </c>
      <c r="G17" s="11">
        <f t="shared" si="2"/>
        <v>-52653510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115</v>
      </c>
      <c r="F18" s="11">
        <f t="shared" si="1"/>
        <v>0</v>
      </c>
      <c r="G18" s="11">
        <f t="shared" si="2"/>
        <v>-12540405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114</v>
      </c>
      <c r="F19" s="11">
        <f t="shared" si="1"/>
        <v>0</v>
      </c>
      <c r="G19" s="11">
        <f t="shared" si="2"/>
        <v>-2964000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111</v>
      </c>
      <c r="F20" s="11">
        <f t="shared" si="1"/>
        <v>0</v>
      </c>
      <c r="G20" s="11">
        <f t="shared" si="2"/>
        <v>-8880000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109</v>
      </c>
      <c r="F21" s="11">
        <f t="shared" si="1"/>
        <v>0</v>
      </c>
      <c r="G21" s="11">
        <f t="shared" si="2"/>
        <v>-10355000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107</v>
      </c>
      <c r="F22" s="11">
        <f t="shared" si="1"/>
        <v>0</v>
      </c>
      <c r="G22" s="11">
        <f t="shared" si="2"/>
        <v>-1676690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106</v>
      </c>
      <c r="F23" s="11">
        <f t="shared" si="1"/>
        <v>0</v>
      </c>
      <c r="G23" s="11">
        <f t="shared" si="2"/>
        <v>-10123000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105</v>
      </c>
      <c r="F24" s="11">
        <f t="shared" si="1"/>
        <v>1</v>
      </c>
      <c r="G24" s="11">
        <f t="shared" si="2"/>
        <v>208000000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105</v>
      </c>
      <c r="F25" s="11">
        <f t="shared" si="1"/>
        <v>0</v>
      </c>
      <c r="G25" s="11">
        <f t="shared" si="2"/>
        <v>-13802250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99</v>
      </c>
      <c r="F26" s="11">
        <f t="shared" si="1"/>
        <v>0</v>
      </c>
      <c r="G26" s="11">
        <f t="shared" si="2"/>
        <v>-1496880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97</v>
      </c>
      <c r="F27" s="11">
        <f t="shared" si="1"/>
        <v>0</v>
      </c>
      <c r="G27" s="11">
        <f t="shared" si="2"/>
        <v>-19400000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96</v>
      </c>
      <c r="F28" s="11">
        <f t="shared" si="1"/>
        <v>0</v>
      </c>
      <c r="G28" s="11">
        <f t="shared" si="2"/>
        <v>-17328000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93</v>
      </c>
      <c r="F29" s="11">
        <f t="shared" si="1"/>
        <v>1</v>
      </c>
      <c r="G29" s="11">
        <f t="shared" si="2"/>
        <v>654764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89</v>
      </c>
      <c r="F30" s="11">
        <f t="shared" si="1"/>
        <v>0</v>
      </c>
      <c r="G30" s="11">
        <f t="shared" si="2"/>
        <v>-890000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85</v>
      </c>
      <c r="F31" s="11">
        <f t="shared" si="1"/>
        <v>0</v>
      </c>
      <c r="G31" s="11">
        <f t="shared" si="2"/>
        <v>-3999505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79</v>
      </c>
      <c r="F32" s="11">
        <f t="shared" si="1"/>
        <v>0</v>
      </c>
      <c r="G32" s="11">
        <f t="shared" si="2"/>
        <v>-2675730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75</v>
      </c>
      <c r="F33" s="11">
        <f t="shared" si="1"/>
        <v>0</v>
      </c>
      <c r="G33" s="11">
        <f t="shared" si="2"/>
        <v>-1650000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75</v>
      </c>
      <c r="F34" s="11">
        <f t="shared" si="1"/>
        <v>0</v>
      </c>
      <c r="G34" s="11">
        <f t="shared" si="2"/>
        <v>-18750000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75</v>
      </c>
      <c r="F35" s="11">
        <f t="shared" si="1"/>
        <v>0</v>
      </c>
      <c r="G35" s="11">
        <f t="shared" si="2"/>
        <v>-48787500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73</v>
      </c>
      <c r="F36" s="11">
        <f t="shared" si="1"/>
        <v>0</v>
      </c>
      <c r="G36" s="11">
        <f t="shared" si="2"/>
        <v>-14600000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70</v>
      </c>
      <c r="F37" s="11">
        <f t="shared" si="1"/>
        <v>0</v>
      </c>
      <c r="G37" s="11">
        <f t="shared" si="2"/>
        <v>-14000000</v>
      </c>
    </row>
    <row r="38" spans="1:9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70</v>
      </c>
      <c r="F38" s="11">
        <f t="shared" si="1"/>
        <v>0</v>
      </c>
      <c r="G38" s="11">
        <f t="shared" si="2"/>
        <v>-1839180</v>
      </c>
    </row>
    <row r="39" spans="1:9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69</v>
      </c>
      <c r="F39" s="11">
        <f t="shared" si="1"/>
        <v>0</v>
      </c>
      <c r="G39" s="11">
        <f t="shared" si="2"/>
        <v>-694830</v>
      </c>
    </row>
    <row r="40" spans="1:9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68</v>
      </c>
      <c r="F40" s="11">
        <f t="shared" si="1"/>
        <v>0</v>
      </c>
      <c r="G40" s="11">
        <f t="shared" si="2"/>
        <v>-2040000</v>
      </c>
    </row>
    <row r="41" spans="1:9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63</v>
      </c>
      <c r="F41" s="11">
        <f t="shared" si="1"/>
        <v>1</v>
      </c>
      <c r="G41" s="11">
        <f t="shared" si="2"/>
        <v>463822</v>
      </c>
    </row>
    <row r="42" spans="1:9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62</v>
      </c>
      <c r="F42" s="11">
        <f t="shared" si="1"/>
        <v>1</v>
      </c>
      <c r="G42" s="11">
        <f t="shared" si="2"/>
        <v>61000000</v>
      </c>
    </row>
    <row r="43" spans="1:9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60</v>
      </c>
      <c r="F43" s="11">
        <f t="shared" si="1"/>
        <v>0</v>
      </c>
      <c r="G43" s="11">
        <f t="shared" si="2"/>
        <v>-2359800</v>
      </c>
    </row>
    <row r="44" spans="1:9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57</v>
      </c>
      <c r="F44" s="11">
        <f t="shared" si="1"/>
        <v>0</v>
      </c>
      <c r="G44" s="11">
        <f t="shared" si="2"/>
        <v>-1999560</v>
      </c>
    </row>
    <row r="45" spans="1:9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54</v>
      </c>
      <c r="F45" s="11">
        <f t="shared" si="1"/>
        <v>0</v>
      </c>
      <c r="G45" s="11">
        <f t="shared" si="2"/>
        <v>-10800000</v>
      </c>
    </row>
    <row r="46" spans="1:9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53</v>
      </c>
      <c r="F46" s="11">
        <f t="shared" si="1"/>
        <v>0</v>
      </c>
      <c r="G46" s="11">
        <f t="shared" si="2"/>
        <v>-2245610</v>
      </c>
    </row>
    <row r="47" spans="1:9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52</v>
      </c>
      <c r="F47" s="11">
        <f t="shared" si="1"/>
        <v>0</v>
      </c>
      <c r="G47" s="11">
        <f t="shared" si="2"/>
        <v>-2231528</v>
      </c>
    </row>
    <row r="48" spans="1:9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49</v>
      </c>
      <c r="F48" s="11">
        <f t="shared" si="1"/>
        <v>0</v>
      </c>
      <c r="G48" s="11">
        <f t="shared" si="2"/>
        <v>-4067000</v>
      </c>
      <c r="I48" t="s">
        <v>25</v>
      </c>
    </row>
    <row r="49" spans="1:7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48</v>
      </c>
      <c r="F49" s="11">
        <f t="shared" si="1"/>
        <v>0</v>
      </c>
      <c r="G49" s="11">
        <f t="shared" si="2"/>
        <v>-4560000</v>
      </c>
    </row>
    <row r="50" spans="1:7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46</v>
      </c>
      <c r="F50" s="11">
        <f t="shared" si="1"/>
        <v>0</v>
      </c>
      <c r="G50" s="11">
        <f t="shared" si="2"/>
        <v>-8280000</v>
      </c>
    </row>
    <row r="51" spans="1:7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46</v>
      </c>
      <c r="F51" s="11">
        <f t="shared" si="1"/>
        <v>0</v>
      </c>
      <c r="G51" s="11">
        <f t="shared" si="2"/>
        <v>-4370000</v>
      </c>
    </row>
    <row r="52" spans="1:7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44</v>
      </c>
      <c r="F52" s="11">
        <f t="shared" si="1"/>
        <v>0</v>
      </c>
      <c r="G52" s="11">
        <f t="shared" si="2"/>
        <v>-562320</v>
      </c>
    </row>
    <row r="53" spans="1:7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43</v>
      </c>
      <c r="F53" s="11">
        <f t="shared" si="1"/>
        <v>0</v>
      </c>
      <c r="G53" s="11">
        <f t="shared" si="2"/>
        <v>-946000</v>
      </c>
    </row>
    <row r="54" spans="1:7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42</v>
      </c>
      <c r="F54" s="11">
        <f t="shared" si="1"/>
        <v>1</v>
      </c>
      <c r="G54" s="11">
        <f t="shared" si="2"/>
        <v>40959000</v>
      </c>
    </row>
    <row r="55" spans="1:7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42</v>
      </c>
      <c r="F55" s="11">
        <f t="shared" si="1"/>
        <v>1</v>
      </c>
      <c r="G55" s="11">
        <f t="shared" si="2"/>
        <v>4382900</v>
      </c>
    </row>
    <row r="56" spans="1:7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42</v>
      </c>
      <c r="F56" s="11">
        <f t="shared" si="1"/>
        <v>0</v>
      </c>
      <c r="G56" s="11">
        <f t="shared" si="2"/>
        <v>-6846000</v>
      </c>
    </row>
    <row r="57" spans="1:7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41</v>
      </c>
      <c r="F57" s="11">
        <f t="shared" si="1"/>
        <v>0</v>
      </c>
      <c r="G57" s="11">
        <f t="shared" si="2"/>
        <v>-754400</v>
      </c>
    </row>
    <row r="58" spans="1:7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40</v>
      </c>
      <c r="F58" s="11">
        <f t="shared" si="1"/>
        <v>0</v>
      </c>
      <c r="G58" s="11">
        <f t="shared" si="2"/>
        <v>-18311080</v>
      </c>
    </row>
    <row r="59" spans="1:7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39</v>
      </c>
      <c r="F59" s="11">
        <f t="shared" si="1"/>
        <v>0</v>
      </c>
      <c r="G59" s="11">
        <f t="shared" si="2"/>
        <v>-7800000</v>
      </c>
    </row>
    <row r="60" spans="1:7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36</v>
      </c>
      <c r="F60" s="11">
        <f t="shared" si="1"/>
        <v>0</v>
      </c>
      <c r="G60" s="11">
        <f t="shared" si="2"/>
        <v>-857124</v>
      </c>
    </row>
    <row r="61" spans="1:7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34</v>
      </c>
      <c r="F61" s="11">
        <f t="shared" si="1"/>
        <v>1</v>
      </c>
      <c r="G61" s="11">
        <f t="shared" si="2"/>
        <v>137676</v>
      </c>
    </row>
    <row r="62" spans="1:7">
      <c r="A62" s="11" t="s">
        <v>1056</v>
      </c>
      <c r="B62" s="3">
        <v>-161000</v>
      </c>
      <c r="C62" s="11" t="s">
        <v>1064</v>
      </c>
      <c r="D62" s="11">
        <v>1</v>
      </c>
      <c r="E62" s="11">
        <f t="shared" si="3"/>
        <v>33</v>
      </c>
      <c r="F62" s="11">
        <f t="shared" si="1"/>
        <v>0</v>
      </c>
      <c r="G62" s="11">
        <f t="shared" si="2"/>
        <v>-5313000</v>
      </c>
    </row>
    <row r="63" spans="1:7">
      <c r="A63" s="11" t="s">
        <v>1069</v>
      </c>
      <c r="B63" s="3">
        <v>-149505</v>
      </c>
      <c r="C63" s="11" t="s">
        <v>1070</v>
      </c>
      <c r="D63" s="11">
        <v>4</v>
      </c>
      <c r="E63" s="11">
        <f t="shared" si="3"/>
        <v>32</v>
      </c>
      <c r="F63" s="11">
        <f t="shared" si="1"/>
        <v>0</v>
      </c>
      <c r="G63" s="11">
        <f t="shared" si="2"/>
        <v>-4784160</v>
      </c>
    </row>
    <row r="64" spans="1:7">
      <c r="A64" s="11" t="s">
        <v>1082</v>
      </c>
      <c r="B64" s="3">
        <v>-4940</v>
      </c>
      <c r="C64" s="11" t="s">
        <v>1086</v>
      </c>
      <c r="D64" s="11">
        <v>25</v>
      </c>
      <c r="E64" s="11">
        <f t="shared" si="3"/>
        <v>28</v>
      </c>
      <c r="F64" s="11">
        <f t="shared" si="1"/>
        <v>0</v>
      </c>
      <c r="G64" s="11">
        <f t="shared" si="2"/>
        <v>-138320</v>
      </c>
    </row>
    <row r="65" spans="1:7">
      <c r="A65" s="11" t="s">
        <v>1257</v>
      </c>
      <c r="B65" s="3">
        <v>1009</v>
      </c>
      <c r="C65" s="11" t="s">
        <v>510</v>
      </c>
      <c r="D65" s="11">
        <v>2</v>
      </c>
      <c r="E65" s="11">
        <f t="shared" si="3"/>
        <v>3</v>
      </c>
      <c r="F65" s="11">
        <f t="shared" si="1"/>
        <v>1</v>
      </c>
      <c r="G65" s="11">
        <f t="shared" si="2"/>
        <v>2018</v>
      </c>
    </row>
    <row r="66" spans="1:7">
      <c r="A66" s="11" t="s">
        <v>1260</v>
      </c>
      <c r="B66" s="3">
        <v>-64538</v>
      </c>
      <c r="C66" s="11" t="s">
        <v>875</v>
      </c>
      <c r="D66" s="11">
        <v>1</v>
      </c>
      <c r="E66" s="11">
        <f t="shared" si="3"/>
        <v>1</v>
      </c>
      <c r="F66" s="11">
        <f t="shared" si="1"/>
        <v>0</v>
      </c>
      <c r="G66" s="11">
        <f t="shared" si="2"/>
        <v>-64538</v>
      </c>
    </row>
    <row r="67" spans="1:7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>
      <c r="A70" s="11"/>
      <c r="B70" s="29">
        <f>SUM(B2:B68)</f>
        <v>36482</v>
      </c>
      <c r="C70" s="11"/>
      <c r="D70" s="11"/>
      <c r="E70" s="11"/>
      <c r="F70" s="11"/>
      <c r="G70" s="29">
        <f>SUM(G2:G30)</f>
        <v>178364744</v>
      </c>
    </row>
    <row r="71" spans="1:7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>
      <c r="A72" s="11"/>
      <c r="B72" s="11"/>
      <c r="C72" s="11"/>
      <c r="D72" s="11"/>
      <c r="E72" s="11"/>
      <c r="F72" s="11"/>
      <c r="G72" s="11"/>
    </row>
    <row r="73" spans="1:7">
      <c r="A73" s="11"/>
      <c r="B73" s="11"/>
      <c r="C73" s="11"/>
      <c r="D73" s="11"/>
      <c r="E73" s="11"/>
      <c r="F73" s="11"/>
      <c r="G73" s="3">
        <f>G70/E2</f>
        <v>401722.39639639639</v>
      </c>
    </row>
    <row r="74" spans="1:7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1024</v>
      </c>
      <c r="P34" t="s">
        <v>60</v>
      </c>
      <c r="Q34" t="s">
        <v>61</v>
      </c>
    </row>
    <row r="35" spans="4:17">
      <c r="D35" s="42">
        <v>200000</v>
      </c>
      <c r="E35" s="41" t="s">
        <v>1042</v>
      </c>
    </row>
    <row r="36" spans="4:17">
      <c r="D36" s="42">
        <v>245000</v>
      </c>
      <c r="E36" s="41" t="s">
        <v>1042</v>
      </c>
    </row>
    <row r="37" spans="4:17">
      <c r="D37" s="7">
        <v>-25000</v>
      </c>
      <c r="E37" s="41" t="s">
        <v>1046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0" sqref="B30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1159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1257</v>
      </c>
      <c r="B7" s="39">
        <v>130723</v>
      </c>
      <c r="C7" s="39">
        <v>39801</v>
      </c>
      <c r="D7" s="35">
        <f t="shared" si="0"/>
        <v>90922</v>
      </c>
      <c r="E7" s="5" t="s">
        <v>1266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909916</v>
      </c>
      <c r="C24" s="3">
        <f>SUM(C2:C22)</f>
        <v>818994</v>
      </c>
      <c r="D24" s="3">
        <f>SUM(D2:D22)</f>
        <v>90922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1167</v>
      </c>
      <c r="P35" t="s">
        <v>60</v>
      </c>
      <c r="Q35" t="s">
        <v>61</v>
      </c>
    </row>
    <row r="36" spans="4:17">
      <c r="D36" s="42">
        <v>79552</v>
      </c>
      <c r="E36" s="41" t="s">
        <v>1168</v>
      </c>
    </row>
    <row r="37" spans="4:17">
      <c r="D37" s="7">
        <v>-65500</v>
      </c>
      <c r="E37" s="41" t="s">
        <v>1183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32" activePane="bottomLeft" state="frozen"/>
      <selection pane="bottomLeft" activeCell="I62" sqref="I62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1160</v>
      </c>
      <c r="AI3" s="113" t="s">
        <v>1038</v>
      </c>
      <c r="AJ3" s="113" t="s">
        <v>1039</v>
      </c>
      <c r="AK3" s="113" t="s">
        <v>1161</v>
      </c>
      <c r="AL3" s="113" t="s">
        <v>951</v>
      </c>
    </row>
    <row r="4" spans="1:38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/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2"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3"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4"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5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5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5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6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5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7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8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9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0</v>
      </c>
      <c r="AC16" s="120">
        <f t="shared" ref="AC16:AD16" si="10">AC15-AJ12</f>
        <v>0</v>
      </c>
      <c r="AD16" s="120">
        <f t="shared" si="10"/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8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11">M17*N17/C16</f>
        <v>82077</v>
      </c>
      <c r="R17" s="80">
        <f t="shared" ref="R17" si="12">M17*O17/C16</f>
        <v>82077</v>
      </c>
      <c r="S17" s="112">
        <f>M17*P17/C16</f>
        <v>0</v>
      </c>
      <c r="T17" s="78"/>
      <c r="U17" s="79">
        <f t="shared" ref="U17" si="13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8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14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8"/>
        <v>7249.8549999999996</v>
      </c>
      <c r="L19" s="75">
        <v>8</v>
      </c>
      <c r="M19" s="77">
        <f t="shared" ref="M19" si="15">F19-F18</f>
        <v>263972</v>
      </c>
      <c r="N19" s="75">
        <v>50</v>
      </c>
      <c r="O19" s="75">
        <v>50</v>
      </c>
      <c r="P19" s="108">
        <v>0</v>
      </c>
      <c r="Q19" s="77">
        <f t="shared" ref="Q19" si="16">M19*N19/C18</f>
        <v>131986</v>
      </c>
      <c r="R19" s="77">
        <f t="shared" ref="R19" si="17">M19*O19/C18</f>
        <v>131986</v>
      </c>
      <c r="S19" s="110">
        <f>M19*P19/C18</f>
        <v>0</v>
      </c>
      <c r="T19" s="75"/>
      <c r="U19" s="76">
        <f t="shared" ref="U19" si="18">-C19*E19+K19+F19</f>
        <v>149632.85500000045</v>
      </c>
      <c r="W19" s="102"/>
      <c r="X19" s="102"/>
      <c r="Y19" s="102"/>
      <c r="Z19" s="102"/>
      <c r="AA19" s="102" t="s">
        <v>1072</v>
      </c>
      <c r="AB19" s="102">
        <v>33</v>
      </c>
      <c r="AD19" s="102"/>
      <c r="AE19" s="102"/>
      <c r="AF19" s="102"/>
      <c r="AG19" s="102"/>
    </row>
    <row r="20" spans="1:33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8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19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8"/>
        <v>14355</v>
      </c>
      <c r="L21" s="78">
        <v>9</v>
      </c>
      <c r="M21" s="80">
        <f t="shared" ref="M21" si="20">F21-F20</f>
        <v>328309</v>
      </c>
      <c r="N21" s="78">
        <v>100</v>
      </c>
      <c r="O21" s="78">
        <v>100</v>
      </c>
      <c r="P21" s="111">
        <v>0</v>
      </c>
      <c r="Q21" s="80">
        <f t="shared" ref="Q21" si="21">M21*N21/C20</f>
        <v>164154.5</v>
      </c>
      <c r="R21" s="80">
        <f t="shared" ref="R21" si="22">M21*O21/C20</f>
        <v>164154.5</v>
      </c>
      <c r="S21" s="112">
        <f>M21*P21/C20</f>
        <v>0</v>
      </c>
      <c r="T21" s="78"/>
      <c r="U21" s="79">
        <f t="shared" ref="U21" si="23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24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25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4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26">-C23*E23+K23+F23</f>
        <v>427982.92750000022</v>
      </c>
      <c r="W23" s="102"/>
      <c r="X23" s="102"/>
      <c r="Y23" s="105" t="s">
        <v>965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27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28"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7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29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30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31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32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33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34">M29*N29/C28</f>
        <v>122958.5</v>
      </c>
      <c r="R29" s="89">
        <f t="shared" ref="R29" si="35">M29*O29/C28</f>
        <v>122958.5</v>
      </c>
      <c r="S29" s="89">
        <f>M29*P29/C28</f>
        <v>0</v>
      </c>
      <c r="T29" s="88"/>
      <c r="U29" s="89">
        <f t="shared" ref="U29" si="36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5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5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5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5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5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0</v>
      </c>
    </row>
    <row r="35" spans="1:26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5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37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38">C36*E36+K36-F36</f>
        <v>-33703.5</v>
      </c>
    </row>
    <row r="37" spans="1:26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37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39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40">C38*E38+K38-F38</f>
        <v>-1252998.5</v>
      </c>
    </row>
    <row r="39" spans="1:26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39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41">M39*N39/C38</f>
        <v>216806.5</v>
      </c>
      <c r="R39" s="80">
        <f t="shared" ref="R39" si="42">M39*O39/C38</f>
        <v>216806.5</v>
      </c>
      <c r="S39" s="112">
        <f>M39*P39/C38</f>
        <v>0</v>
      </c>
      <c r="T39" s="78"/>
      <c r="U39" s="79">
        <f t="shared" ref="U39" si="43">-C39*E39+K39+F39</f>
        <v>1252949</v>
      </c>
    </row>
    <row r="40" spans="1:26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44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45">M43*N43/C42</f>
        <v>505161.5</v>
      </c>
      <c r="R43" s="80">
        <f t="shared" ref="R43" si="46">M43*O43/C42</f>
        <v>505161.5</v>
      </c>
      <c r="S43" s="112">
        <f>M43*P43/C42</f>
        <v>0</v>
      </c>
      <c r="T43" s="78"/>
      <c r="U43" s="79">
        <f t="shared" ref="U43" si="47">-C43*E43+K43+F43</f>
        <v>8813934.8725000024</v>
      </c>
    </row>
    <row r="44" spans="1:26">
      <c r="A44" s="124" t="s">
        <v>1145</v>
      </c>
      <c r="B44" s="124" t="s">
        <v>1163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1164</v>
      </c>
      <c r="U44" s="76"/>
    </row>
    <row r="45" spans="1:26">
      <c r="A45" s="124" t="s">
        <v>1145</v>
      </c>
      <c r="B45" s="124" t="s">
        <v>1165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48">M45*N45/C44</f>
        <v>34252</v>
      </c>
      <c r="R45" s="124">
        <f t="shared" ref="R45" si="49">M45*O45/C44</f>
        <v>34252</v>
      </c>
      <c r="S45" s="125">
        <f>M45*P45/C44</f>
        <v>0</v>
      </c>
      <c r="T45" s="75"/>
      <c r="U45" s="76"/>
    </row>
    <row r="46" spans="1:26">
      <c r="A46" s="127" t="s">
        <v>1145</v>
      </c>
      <c r="B46" s="127" t="s">
        <v>945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251268.6202739726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83379.402939669802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956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 t="shared" ref="Q47" si="50">M47*N47/C46</f>
        <v>84636.020172910663</v>
      </c>
      <c r="R47" s="112">
        <f t="shared" ref="R47" si="51"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39"/>
        <v>0</v>
      </c>
      <c r="L52" s="75">
        <f t="shared" ref="L52" si="52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53"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39"/>
        <v>0</v>
      </c>
      <c r="L53" s="75">
        <v>21</v>
      </c>
      <c r="M53" s="77">
        <f t="shared" ref="M53" si="54">F53-F52</f>
        <v>0</v>
      </c>
      <c r="N53" s="75">
        <v>50</v>
      </c>
      <c r="O53" s="75">
        <v>50</v>
      </c>
      <c r="P53" s="108"/>
      <c r="Q53" s="77">
        <f t="shared" ref="Q53" si="55">M53*N53/C52</f>
        <v>0</v>
      </c>
      <c r="R53" s="77">
        <f t="shared" ref="R53" si="56">M53*O53/C52</f>
        <v>0</v>
      </c>
      <c r="S53" s="110"/>
      <c r="T53" s="75"/>
      <c r="U53" s="87">
        <f t="shared" ref="U53" si="57"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39"/>
        <v>0</v>
      </c>
      <c r="L54" s="78">
        <f t="shared" ref="L54" si="58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59"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39"/>
        <v>0</v>
      </c>
      <c r="L55" s="78">
        <v>22</v>
      </c>
      <c r="M55" s="78">
        <f t="shared" ref="M55" si="60">F55-F54</f>
        <v>0</v>
      </c>
      <c r="N55" s="78">
        <v>50</v>
      </c>
      <c r="O55" s="78">
        <v>50</v>
      </c>
      <c r="P55" s="111"/>
      <c r="Q55" s="78">
        <f t="shared" ref="Q55" si="61">M55*N55/C54</f>
        <v>0</v>
      </c>
      <c r="R55" s="78">
        <f t="shared" ref="R55" si="62">M55*O55/C54</f>
        <v>0</v>
      </c>
      <c r="S55" s="111"/>
      <c r="T55" s="78"/>
      <c r="U55" s="79">
        <f t="shared" ref="U55" si="63">-C55*E55+K55+F55</f>
        <v>0</v>
      </c>
    </row>
    <row r="56" spans="1:22">
      <c r="V56" t="s">
        <v>25</v>
      </c>
    </row>
    <row r="58" spans="1:22">
      <c r="A58" s="82" t="s">
        <v>1260</v>
      </c>
      <c r="B58" s="82" t="s">
        <v>1268</v>
      </c>
      <c r="C58" s="82">
        <v>10</v>
      </c>
      <c r="D58" s="82" t="s">
        <v>61</v>
      </c>
      <c r="E58" s="76">
        <v>1827000</v>
      </c>
      <c r="F58" s="76">
        <v>5400000</v>
      </c>
      <c r="G58" s="82">
        <v>3</v>
      </c>
      <c r="H58" s="82">
        <v>10</v>
      </c>
      <c r="I58" s="79">
        <f>F58*G58*($AE$2-H58)/(36500)</f>
        <v>4438.3561643835619</v>
      </c>
      <c r="J58" s="82">
        <v>0</v>
      </c>
      <c r="K58" s="76">
        <v>3000</v>
      </c>
      <c r="L58" s="76">
        <f>E58+0.1*(I58+K58+K59)</f>
        <v>1828043.8356164384</v>
      </c>
      <c r="M58" s="76"/>
      <c r="N58" s="82"/>
      <c r="O58" s="82"/>
      <c r="P58" s="114"/>
      <c r="Q58" s="82"/>
      <c r="R58" s="82"/>
      <c r="S58" s="114"/>
      <c r="T58" s="82"/>
      <c r="U58" s="83"/>
    </row>
    <row r="59" spans="1:22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>
        <v>0</v>
      </c>
      <c r="K59" s="76">
        <v>3000</v>
      </c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64">-C60*E60+K60+F60</f>
        <v>0</v>
      </c>
    </row>
    <row r="61" spans="1:22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65">C61*E61+K61-F61</f>
        <v>0</v>
      </c>
    </row>
    <row r="62" spans="1:22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66">-C62*E62+K62+F62</f>
        <v>0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67"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68"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69"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70"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71"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72"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236806</v>
      </c>
      <c r="N70" s="11"/>
      <c r="O70" s="11"/>
      <c r="P70" s="105"/>
      <c r="Q70" s="3">
        <f>SUM(Q48:Q69)</f>
        <v>0</v>
      </c>
      <c r="R70" s="119">
        <f t="shared" ref="R70:S70" si="73">SUM(R48:R69)</f>
        <v>0</v>
      </c>
      <c r="S70" s="119">
        <f t="shared" si="73"/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1162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74">C83*D83</f>
        <v>35200000</v>
      </c>
      <c r="G83">
        <f t="shared" ref="G83:G90" si="7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956</v>
      </c>
      <c r="F84">
        <f t="shared" si="74"/>
        <v>176999900</v>
      </c>
      <c r="G84">
        <f t="shared" si="7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74"/>
        <v>35580000</v>
      </c>
      <c r="G85">
        <f t="shared" si="7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74"/>
        <v>142400000</v>
      </c>
      <c r="G86">
        <f t="shared" si="7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956</v>
      </c>
      <c r="F87">
        <f t="shared" si="74"/>
        <v>53220030</v>
      </c>
      <c r="G87">
        <f t="shared" si="7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956</v>
      </c>
      <c r="F88">
        <f t="shared" si="74"/>
        <v>17740000</v>
      </c>
      <c r="G88">
        <f t="shared" si="75"/>
        <v>22175</v>
      </c>
      <c r="H88">
        <f t="shared" ref="H88:H89" si="76">F88-G88</f>
        <v>17717825</v>
      </c>
      <c r="I88" s="25"/>
    </row>
    <row r="89" spans="3:14">
      <c r="C89">
        <v>40</v>
      </c>
      <c r="D89">
        <v>1771000</v>
      </c>
      <c r="E89" t="s">
        <v>956</v>
      </c>
      <c r="F89">
        <f t="shared" si="74"/>
        <v>70840000</v>
      </c>
      <c r="G89">
        <f t="shared" si="75"/>
        <v>88550</v>
      </c>
      <c r="H89">
        <f t="shared" si="76"/>
        <v>70751450</v>
      </c>
      <c r="I89" s="28"/>
    </row>
    <row r="90" spans="3:14">
      <c r="C90">
        <v>20</v>
      </c>
      <c r="D90">
        <v>1790000</v>
      </c>
      <c r="E90" t="s">
        <v>956</v>
      </c>
      <c r="F90">
        <f t="shared" si="74"/>
        <v>35800000</v>
      </c>
      <c r="G90">
        <f t="shared" si="7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T1" activePane="topRight" state="frozen"/>
      <selection pane="topRight" activeCell="AA28" sqref="AA28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>
      <c r="A2" s="90" t="s">
        <v>972</v>
      </c>
      <c r="B2" s="91">
        <f>$S2/(1+($AC$2-$O2+$P2)/36500)^$N2</f>
        <v>94362.463278665906</v>
      </c>
      <c r="C2" s="91">
        <f>$S2/(1+($AC$3-$O2+$P2)/36500)^$N2</f>
        <v>94464.836151474636</v>
      </c>
      <c r="D2" s="91">
        <f>$S2/(1+($AC$4-$O2+$P2)/36500)^$N2</f>
        <v>94592.96001911143</v>
      </c>
      <c r="E2" s="91">
        <f>$S2/(1+($AC$5-$O2+$P2)/36500)^$N2</f>
        <v>94721.259420508199</v>
      </c>
      <c r="F2" s="91">
        <f>$S2/(1+($AC$6-$O2+$P2)/36500)^$N2</f>
        <v>94849.73459856282</v>
      </c>
      <c r="G2" s="91">
        <f>$S2/(1+($AC$7-$O2+$P2)/36500)^$N2</f>
        <v>94978.385796506554</v>
      </c>
      <c r="H2" s="91">
        <f>$S2/(1+($AC$8-$O2+$P2)/36500)^$N2</f>
        <v>95107.213257916723</v>
      </c>
      <c r="I2" s="91">
        <f>$S2/(1+($AC$9-$O2+$P2)/36500)^$N2</f>
        <v>95236.217226706067</v>
      </c>
      <c r="J2" s="91">
        <f>$S2/(1+($AC$10-$O2+$P2)/36500)^$N2</f>
        <v>95365.397947130463</v>
      </c>
      <c r="K2" s="91">
        <f>$S2/(1+($AC$11-$O2+$P2)/36500)^$N2</f>
        <v>95494.755663790624</v>
      </c>
      <c r="L2" s="91">
        <f>$S2/(1+($AC$5-$O2+$P2)/36500)^$N2</f>
        <v>94721.259420508199</v>
      </c>
      <c r="M2" s="90" t="s">
        <v>1002</v>
      </c>
      <c r="N2" s="90">
        <f>132-$AD$19</f>
        <v>99</v>
      </c>
      <c r="O2" s="90">
        <v>0</v>
      </c>
      <c r="P2" s="90">
        <v>0</v>
      </c>
      <c r="Q2" s="90">
        <v>0</v>
      </c>
      <c r="R2" s="90">
        <f t="shared" ref="R2:R29" si="0">N2/30.5</f>
        <v>3.2459016393442623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>
      <c r="A3" s="92" t="s">
        <v>973</v>
      </c>
      <c r="B3" s="93">
        <f t="shared" ref="B3:B29" si="2">$S3/(1+($AC$2-$O3+$P3)/36500)^$N3</f>
        <v>92446.382206260241</v>
      </c>
      <c r="C3" s="93">
        <f t="shared" ref="C3:C29" si="3">$S3/(1+($AC$3-$O3+$P3)/36500)^$N3</f>
        <v>92582.159892595446</v>
      </c>
      <c r="D3" s="93">
        <f t="shared" ref="D3:D29" si="4">$S3/(1+($AC$4-$O3+$P3)/36500)^$N3</f>
        <v>92752.164564682098</v>
      </c>
      <c r="E3" s="93">
        <f t="shared" ref="E3:E29" si="5">$S3/(1+($AC$5-$O3+$P3)/36500)^$N3</f>
        <v>92922.483743049743</v>
      </c>
      <c r="F3" s="93">
        <f t="shared" ref="F3:F29" si="6">$S3/(1+($AC$6-$O3+$P3)/36500)^$N3</f>
        <v>93093.118013852407</v>
      </c>
      <c r="G3" s="93">
        <f t="shared" ref="G3:G29" si="7">$S3/(1+($AC$7-$O3+$P3)/36500)^$N3</f>
        <v>93264.067964336413</v>
      </c>
      <c r="H3" s="93">
        <f t="shared" ref="H3:H29" si="8">$S3/(1+($AC$8-$O3+$P3)/36500)^$N3</f>
        <v>93435.334182858845</v>
      </c>
      <c r="I3" s="93">
        <f t="shared" ref="I3:I29" si="9">$S3/(1+($AC$9-$O3+$P3)/36500)^$N3</f>
        <v>93606.917258874921</v>
      </c>
      <c r="J3" s="93">
        <f t="shared" ref="J3:J29" si="10">$S3/(1+($AC$10-$O3+$P3)/36500)^$N3</f>
        <v>93778.817782949322</v>
      </c>
      <c r="K3" s="93">
        <f t="shared" ref="K3:K29" si="11">$S3/(1+($AC$11-$O3+$P3)/36500)^$N3</f>
        <v>93951.036346760433</v>
      </c>
      <c r="L3" s="93">
        <f t="shared" ref="L3:L29" si="12">$S3/(1+($AC$5-$O3+$P3)/36500)^$N3</f>
        <v>92922.483743049743</v>
      </c>
      <c r="M3" s="92" t="s">
        <v>1003</v>
      </c>
      <c r="N3" s="92">
        <f>167-$AD$19</f>
        <v>134</v>
      </c>
      <c r="O3" s="92">
        <v>0</v>
      </c>
      <c r="P3" s="92">
        <v>0</v>
      </c>
      <c r="Q3" s="92">
        <v>0</v>
      </c>
      <c r="R3" s="92">
        <f t="shared" si="0"/>
        <v>4.3934426229508201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974</v>
      </c>
      <c r="B4" s="95">
        <f t="shared" si="2"/>
        <v>90888.280667566447</v>
      </c>
      <c r="C4" s="95">
        <f t="shared" si="3"/>
        <v>91050.685208278781</v>
      </c>
      <c r="D4" s="95">
        <f t="shared" si="4"/>
        <v>91254.101539463314</v>
      </c>
      <c r="E4" s="95">
        <f t="shared" si="5"/>
        <v>91457.975117378155</v>
      </c>
      <c r="F4" s="95">
        <f t="shared" si="6"/>
        <v>91662.306976125343</v>
      </c>
      <c r="G4" s="95">
        <f t="shared" si="7"/>
        <v>91867.098152150065</v>
      </c>
      <c r="H4" s="95">
        <f t="shared" si="8"/>
        <v>92072.349684265544</v>
      </c>
      <c r="I4" s="95">
        <f t="shared" si="9"/>
        <v>92278.062613640985</v>
      </c>
      <c r="J4" s="95">
        <f t="shared" si="10"/>
        <v>92484.237983817962</v>
      </c>
      <c r="K4" s="95">
        <f t="shared" si="11"/>
        <v>92690.876840718367</v>
      </c>
      <c r="L4" s="95">
        <f t="shared" si="12"/>
        <v>91457.975117378155</v>
      </c>
      <c r="M4" s="94" t="s">
        <v>1004</v>
      </c>
      <c r="N4" s="94">
        <f>196-$AD$19</f>
        <v>163</v>
      </c>
      <c r="O4" s="94">
        <v>0</v>
      </c>
      <c r="P4" s="94">
        <v>0</v>
      </c>
      <c r="Q4" s="94">
        <v>0</v>
      </c>
      <c r="R4" s="94">
        <f t="shared" si="0"/>
        <v>5.3442622950819674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975</v>
      </c>
      <c r="B5" s="91">
        <f t="shared" si="2"/>
        <v>71682.639728955313</v>
      </c>
      <c r="C5" s="91">
        <f t="shared" si="3"/>
        <v>72129.970590028577</v>
      </c>
      <c r="D5" s="91">
        <f t="shared" si="4"/>
        <v>72693.068772752071</v>
      </c>
      <c r="E5" s="91">
        <f t="shared" si="5"/>
        <v>73260.570702792829</v>
      </c>
      <c r="F5" s="91">
        <f t="shared" si="6"/>
        <v>73832.510880967544</v>
      </c>
      <c r="G5" s="91">
        <f t="shared" si="7"/>
        <v>74408.924078837372</v>
      </c>
      <c r="H5" s="91">
        <f t="shared" si="8"/>
        <v>74989.845340891319</v>
      </c>
      <c r="I5" s="91">
        <f t="shared" si="9"/>
        <v>75575.30998664294</v>
      </c>
      <c r="J5" s="91">
        <f t="shared" si="10"/>
        <v>76165.353612823543</v>
      </c>
      <c r="K5" s="91">
        <f t="shared" si="11"/>
        <v>76760.012095569487</v>
      </c>
      <c r="L5" s="91">
        <f t="shared" si="12"/>
        <v>73260.570702792829</v>
      </c>
      <c r="M5" s="90" t="s">
        <v>1005</v>
      </c>
      <c r="N5" s="90">
        <f>601-$AD$19</f>
        <v>568</v>
      </c>
      <c r="O5" s="90">
        <v>0</v>
      </c>
      <c r="P5" s="90">
        <v>0</v>
      </c>
      <c r="Q5" s="90">
        <v>0</v>
      </c>
      <c r="R5" s="90">
        <f t="shared" si="0"/>
        <v>18.622950819672131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>
      <c r="A6" s="92" t="s">
        <v>976</v>
      </c>
      <c r="B6" s="93">
        <f t="shared" si="2"/>
        <v>86928.437316182462</v>
      </c>
      <c r="C6" s="93">
        <f t="shared" si="3"/>
        <v>87156.284291126969</v>
      </c>
      <c r="D6" s="93">
        <f t="shared" si="4"/>
        <v>87441.936540520313</v>
      </c>
      <c r="E6" s="93">
        <f t="shared" si="5"/>
        <v>87728.528937170136</v>
      </c>
      <c r="F6" s="93">
        <f t="shared" si="6"/>
        <v>88016.064588259047</v>
      </c>
      <c r="G6" s="93">
        <f t="shared" si="7"/>
        <v>88304.546611267957</v>
      </c>
      <c r="H6" s="93">
        <f t="shared" si="8"/>
        <v>88593.978134037796</v>
      </c>
      <c r="I6" s="93">
        <f t="shared" si="9"/>
        <v>88884.362294779348</v>
      </c>
      <c r="J6" s="93">
        <f t="shared" si="10"/>
        <v>89175.702242123545</v>
      </c>
      <c r="K6" s="93">
        <f t="shared" si="11"/>
        <v>89468.001135159458</v>
      </c>
      <c r="L6" s="93">
        <f t="shared" si="12"/>
        <v>87728.528937170136</v>
      </c>
      <c r="M6" s="92" t="s">
        <v>1006</v>
      </c>
      <c r="N6" s="92">
        <f>272-$AD$19</f>
        <v>239</v>
      </c>
      <c r="O6" s="92">
        <v>0</v>
      </c>
      <c r="P6" s="92">
        <v>0</v>
      </c>
      <c r="Q6" s="92">
        <v>0</v>
      </c>
      <c r="R6" s="92">
        <f t="shared" si="0"/>
        <v>7.8360655737704921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977</v>
      </c>
      <c r="B7" s="95">
        <f t="shared" si="2"/>
        <v>72868.775111391267</v>
      </c>
      <c r="C7" s="95">
        <f t="shared" si="3"/>
        <v>73301.025213205008</v>
      </c>
      <c r="D7" s="95">
        <f t="shared" si="4"/>
        <v>73844.9520617456</v>
      </c>
      <c r="E7" s="95">
        <f t="shared" si="5"/>
        <v>74392.922624109939</v>
      </c>
      <c r="F7" s="95">
        <f t="shared" si="6"/>
        <v>74944.96701846215</v>
      </c>
      <c r="G7" s="95">
        <f t="shared" si="7"/>
        <v>75501.11558768127</v>
      </c>
      <c r="H7" s="95">
        <f t="shared" si="8"/>
        <v>76061.398901094144</v>
      </c>
      <c r="I7" s="95">
        <f t="shared" si="9"/>
        <v>76625.84775612074</v>
      </c>
      <c r="J7" s="95">
        <f t="shared" si="10"/>
        <v>77194.493180009245</v>
      </c>
      <c r="K7" s="95">
        <f t="shared" si="11"/>
        <v>77767.366431561823</v>
      </c>
      <c r="L7" s="95">
        <f t="shared" si="12"/>
        <v>74392.922624109939</v>
      </c>
      <c r="M7" s="94" t="s">
        <v>1007</v>
      </c>
      <c r="N7" s="94">
        <f>573-$AD$19</f>
        <v>540</v>
      </c>
      <c r="O7" s="94">
        <v>0</v>
      </c>
      <c r="P7" s="94">
        <v>0</v>
      </c>
      <c r="Q7" s="94">
        <v>0</v>
      </c>
      <c r="R7" s="94">
        <f t="shared" si="0"/>
        <v>17.704918032786885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>
      <c r="A8" s="90" t="s">
        <v>978</v>
      </c>
      <c r="B8" s="91">
        <f t="shared" si="2"/>
        <v>86218.037430154392</v>
      </c>
      <c r="C8" s="91">
        <f t="shared" si="3"/>
        <v>86457.278347419735</v>
      </c>
      <c r="D8" s="91">
        <f t="shared" si="4"/>
        <v>86757.266957648637</v>
      </c>
      <c r="E8" s="91">
        <f t="shared" si="5"/>
        <v>87058.30059393734</v>
      </c>
      <c r="F8" s="91">
        <f t="shared" si="6"/>
        <v>87360.382911078224</v>
      </c>
      <c r="G8" s="91">
        <f t="shared" si="7"/>
        <v>87663.517576681508</v>
      </c>
      <c r="H8" s="91">
        <f t="shared" si="8"/>
        <v>87967.708271249241</v>
      </c>
      <c r="I8" s="91">
        <f t="shared" si="9"/>
        <v>88272.958688195038</v>
      </c>
      <c r="J8" s="91">
        <f t="shared" si="10"/>
        <v>88579.272533905634</v>
      </c>
      <c r="K8" s="91">
        <f t="shared" si="11"/>
        <v>88886.653527790739</v>
      </c>
      <c r="L8" s="91">
        <f t="shared" si="12"/>
        <v>87058.30059393734</v>
      </c>
      <c r="M8" s="90" t="s">
        <v>1009</v>
      </c>
      <c r="N8" s="90">
        <f>286-$AD$19</f>
        <v>253</v>
      </c>
      <c r="O8" s="90">
        <v>0</v>
      </c>
      <c r="P8" s="90">
        <v>0</v>
      </c>
      <c r="Q8" s="90">
        <v>0</v>
      </c>
      <c r="R8" s="90">
        <f t="shared" si="0"/>
        <v>8.2950819672131146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994</v>
      </c>
      <c r="B9" s="93">
        <f t="shared" si="2"/>
        <v>77448.848321935977</v>
      </c>
      <c r="C9" s="93">
        <f t="shared" si="3"/>
        <v>77819.574934950142</v>
      </c>
      <c r="D9" s="93">
        <f t="shared" si="4"/>
        <v>78285.485439461452</v>
      </c>
      <c r="E9" s="93">
        <f t="shared" si="5"/>
        <v>78754.191814511563</v>
      </c>
      <c r="F9" s="93">
        <f t="shared" si="6"/>
        <v>79225.710876403493</v>
      </c>
      <c r="G9" s="93">
        <f t="shared" si="7"/>
        <v>79700.059542794887</v>
      </c>
      <c r="H9" s="93">
        <f t="shared" si="8"/>
        <v>80177.254833355502</v>
      </c>
      <c r="I9" s="93">
        <f t="shared" si="9"/>
        <v>80657.313870343292</v>
      </c>
      <c r="J9" s="93">
        <f t="shared" si="10"/>
        <v>81140.253879249634</v>
      </c>
      <c r="K9" s="93">
        <f t="shared" si="11"/>
        <v>81626.092189429197</v>
      </c>
      <c r="L9" s="93">
        <f t="shared" si="12"/>
        <v>78754.191814511563</v>
      </c>
      <c r="M9" s="92" t="s">
        <v>1008</v>
      </c>
      <c r="N9" s="92">
        <f>469-$AD$19</f>
        <v>436</v>
      </c>
      <c r="O9" s="92">
        <v>0</v>
      </c>
      <c r="P9" s="92">
        <v>0</v>
      </c>
      <c r="Q9" s="92">
        <v>0</v>
      </c>
      <c r="R9" s="92">
        <f t="shared" si="0"/>
        <v>14.295081967213115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995</v>
      </c>
      <c r="B10" s="95">
        <f t="shared" si="2"/>
        <v>77448.848321935977</v>
      </c>
      <c r="C10" s="95">
        <f t="shared" si="3"/>
        <v>77819.574934950142</v>
      </c>
      <c r="D10" s="95">
        <f t="shared" si="4"/>
        <v>78285.485439461452</v>
      </c>
      <c r="E10" s="95">
        <f t="shared" si="5"/>
        <v>78754.191814511563</v>
      </c>
      <c r="F10" s="95">
        <f t="shared" si="6"/>
        <v>79225.710876403493</v>
      </c>
      <c r="G10" s="95">
        <f t="shared" si="7"/>
        <v>79700.059542794887</v>
      </c>
      <c r="H10" s="95">
        <f t="shared" si="8"/>
        <v>80177.254833355502</v>
      </c>
      <c r="I10" s="95">
        <f t="shared" si="9"/>
        <v>80657.313870343292</v>
      </c>
      <c r="J10" s="95">
        <f t="shared" si="10"/>
        <v>81140.253879249634</v>
      </c>
      <c r="K10" s="95">
        <f t="shared" si="11"/>
        <v>81626.092189429197</v>
      </c>
      <c r="L10" s="95">
        <f t="shared" si="12"/>
        <v>78754.191814511563</v>
      </c>
      <c r="M10" s="94" t="s">
        <v>1008</v>
      </c>
      <c r="N10" s="94">
        <f>469-$AD$19</f>
        <v>436</v>
      </c>
      <c r="O10" s="94">
        <v>0</v>
      </c>
      <c r="P10" s="94">
        <v>0</v>
      </c>
      <c r="Q10" s="94">
        <v>0</v>
      </c>
      <c r="R10" s="94">
        <f t="shared" si="0"/>
        <v>14.295081967213115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996</v>
      </c>
      <c r="B11" s="91">
        <f t="shared" si="2"/>
        <v>70805.726043837101</v>
      </c>
      <c r="C11" s="91">
        <f t="shared" si="3"/>
        <v>71263.97365302821</v>
      </c>
      <c r="D11" s="91">
        <f t="shared" si="4"/>
        <v>71840.96311112908</v>
      </c>
      <c r="E11" s="91">
        <f t="shared" si="5"/>
        <v>72422.632165694857</v>
      </c>
      <c r="F11" s="91">
        <f t="shared" si="6"/>
        <v>73009.018834835137</v>
      </c>
      <c r="G11" s="91">
        <f t="shared" si="7"/>
        <v>73600.16144602593</v>
      </c>
      <c r="H11" s="91">
        <f t="shared" si="8"/>
        <v>74196.098638687967</v>
      </c>
      <c r="I11" s="91">
        <f t="shared" si="9"/>
        <v>74796.869366679166</v>
      </c>
      <c r="J11" s="91">
        <f t="shared" si="10"/>
        <v>75402.51290088972</v>
      </c>
      <c r="K11" s="91">
        <f t="shared" si="11"/>
        <v>76013.068831834433</v>
      </c>
      <c r="L11" s="91">
        <f t="shared" si="12"/>
        <v>72422.632165694857</v>
      </c>
      <c r="M11" s="90" t="s">
        <v>1012</v>
      </c>
      <c r="N11" s="90">
        <f>622-$AD$19</f>
        <v>589</v>
      </c>
      <c r="O11" s="90">
        <v>0</v>
      </c>
      <c r="P11" s="90">
        <v>0</v>
      </c>
      <c r="Q11" s="90">
        <v>0</v>
      </c>
      <c r="R11" s="90">
        <f t="shared" si="0"/>
        <v>19.311475409836067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997</v>
      </c>
      <c r="B12" s="93">
        <f>$S12/(1+($AC$2-$O12+$P12)/36500)^$N12</f>
        <v>87593.334502520025</v>
      </c>
      <c r="C12" s="93">
        <f>$S12/(1+($AC$3-$O12+$P12)/36500)^$N12</f>
        <v>87810.420624656253</v>
      </c>
      <c r="D12" s="93">
        <f t="shared" si="4"/>
        <v>88082.538372924784</v>
      </c>
      <c r="E12" s="93">
        <f t="shared" si="5"/>
        <v>88355.50313609236</v>
      </c>
      <c r="F12" s="93">
        <f t="shared" si="6"/>
        <v>88629.317562300479</v>
      </c>
      <c r="G12" s="93">
        <f t="shared" si="7"/>
        <v>88903.984307993349</v>
      </c>
      <c r="H12" s="93">
        <f t="shared" si="8"/>
        <v>89179.506037969957</v>
      </c>
      <c r="I12" s="93">
        <f t="shared" si="9"/>
        <v>89455.885425387285</v>
      </c>
      <c r="J12" s="93">
        <f t="shared" si="10"/>
        <v>89733.1251518012</v>
      </c>
      <c r="K12" s="93">
        <f t="shared" si="11"/>
        <v>90011.22790719656</v>
      </c>
      <c r="L12" s="93">
        <f t="shared" si="12"/>
        <v>88355.50313609236</v>
      </c>
      <c r="M12" s="92" t="s">
        <v>1013</v>
      </c>
      <c r="N12" s="92">
        <f>259-$AD$19</f>
        <v>226</v>
      </c>
      <c r="O12" s="92">
        <v>0</v>
      </c>
      <c r="P12" s="92">
        <v>0</v>
      </c>
      <c r="Q12" s="92">
        <v>0</v>
      </c>
      <c r="R12" s="92">
        <f t="shared" si="0"/>
        <v>7.4098360655737707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>
      <c r="A13" s="94" t="s">
        <v>998</v>
      </c>
      <c r="B13" s="95">
        <f t="shared" si="2"/>
        <v>68238.826837714019</v>
      </c>
      <c r="C13" s="95">
        <f t="shared" si="3"/>
        <v>68727.868302608302</v>
      </c>
      <c r="D13" s="95">
        <f t="shared" si="4"/>
        <v>69344.109286390303</v>
      </c>
      <c r="E13" s="95">
        <f t="shared" si="5"/>
        <v>69965.884278846643</v>
      </c>
      <c r="F13" s="95">
        <f t="shared" si="6"/>
        <v>70593.243053657512</v>
      </c>
      <c r="G13" s="95">
        <f t="shared" si="7"/>
        <v>71226.235832835271</v>
      </c>
      <c r="H13" s="95">
        <f t="shared" si="8"/>
        <v>71864.913290829631</v>
      </c>
      <c r="I13" s="95">
        <f t="shared" si="9"/>
        <v>72509.326558555345</v>
      </c>
      <c r="J13" s="95">
        <f t="shared" si="10"/>
        <v>73159.527227544575</v>
      </c>
      <c r="K13" s="95">
        <f t="shared" si="11"/>
        <v>73815.567354111161</v>
      </c>
      <c r="L13" s="95">
        <f t="shared" si="12"/>
        <v>69965.884278846643</v>
      </c>
      <c r="M13" s="94" t="s">
        <v>1014</v>
      </c>
      <c r="N13" s="94">
        <f>685-$AD$19</f>
        <v>652</v>
      </c>
      <c r="O13" s="94">
        <v>0</v>
      </c>
      <c r="P13" s="94">
        <v>0</v>
      </c>
      <c r="Q13" s="94">
        <v>0</v>
      </c>
      <c r="R13" s="94">
        <f t="shared" si="0"/>
        <v>21.377049180327869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>
      <c r="A14" s="90" t="s">
        <v>999</v>
      </c>
      <c r="B14" s="91">
        <f t="shared" si="2"/>
        <v>69367.977316465636</v>
      </c>
      <c r="C14" s="91">
        <f t="shared" si="3"/>
        <v>69843.688637185798</v>
      </c>
      <c r="D14" s="91">
        <f t="shared" si="4"/>
        <v>70442.92547376077</v>
      </c>
      <c r="E14" s="91">
        <f t="shared" si="5"/>
        <v>71047.311883488321</v>
      </c>
      <c r="F14" s="91">
        <f t="shared" si="6"/>
        <v>71656.892190923027</v>
      </c>
      <c r="G14" s="91">
        <f t="shared" si="7"/>
        <v>72271.711102725123</v>
      </c>
      <c r="H14" s="91">
        <f t="shared" si="8"/>
        <v>72891.813711018433</v>
      </c>
      <c r="I14" s="91">
        <f t="shared" si="9"/>
        <v>73517.245496666525</v>
      </c>
      <c r="J14" s="91">
        <f t="shared" si="10"/>
        <v>74148.052332662599</v>
      </c>
      <c r="K14" s="91">
        <f t="shared" si="11"/>
        <v>74784.280487523909</v>
      </c>
      <c r="L14" s="91">
        <f t="shared" si="12"/>
        <v>71047.311883488321</v>
      </c>
      <c r="M14" s="90" t="s">
        <v>1015</v>
      </c>
      <c r="N14" s="90">
        <f>657-$AD$19</f>
        <v>624</v>
      </c>
      <c r="O14" s="90">
        <v>0</v>
      </c>
      <c r="P14" s="90">
        <v>0</v>
      </c>
      <c r="Q14" s="90">
        <v>0</v>
      </c>
      <c r="R14" s="90">
        <f t="shared" si="0"/>
        <v>20.459016393442624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>
      <c r="A15" s="92" t="s">
        <v>1000</v>
      </c>
      <c r="B15" s="93">
        <f t="shared" si="2"/>
        <v>69367.977316465636</v>
      </c>
      <c r="C15" s="93">
        <f t="shared" si="3"/>
        <v>69843.688637185798</v>
      </c>
      <c r="D15" s="93">
        <f t="shared" si="4"/>
        <v>70442.92547376077</v>
      </c>
      <c r="E15" s="93">
        <f t="shared" si="5"/>
        <v>71047.311883488321</v>
      </c>
      <c r="F15" s="93">
        <f t="shared" si="6"/>
        <v>71656.892190923027</v>
      </c>
      <c r="G15" s="93">
        <f t="shared" si="7"/>
        <v>72271.711102725123</v>
      </c>
      <c r="H15" s="93">
        <f t="shared" si="8"/>
        <v>72891.813711018433</v>
      </c>
      <c r="I15" s="93">
        <f t="shared" si="9"/>
        <v>73517.245496666525</v>
      </c>
      <c r="J15" s="93">
        <f t="shared" si="10"/>
        <v>74148.052332662599</v>
      </c>
      <c r="K15" s="93">
        <f t="shared" si="11"/>
        <v>74784.280487523909</v>
      </c>
      <c r="L15" s="93">
        <f t="shared" si="12"/>
        <v>71047.311883488321</v>
      </c>
      <c r="M15" s="92" t="s">
        <v>1015</v>
      </c>
      <c r="N15" s="92">
        <f>657-$AD$19</f>
        <v>624</v>
      </c>
      <c r="O15" s="92">
        <v>0</v>
      </c>
      <c r="P15" s="92">
        <v>0</v>
      </c>
      <c r="Q15" s="92">
        <v>0</v>
      </c>
      <c r="R15" s="92">
        <f t="shared" si="0"/>
        <v>20.459016393442624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1001</v>
      </c>
      <c r="B16" s="95">
        <f t="shared" si="2"/>
        <v>71682.639728955313</v>
      </c>
      <c r="C16" s="95">
        <f t="shared" si="3"/>
        <v>72129.970590028577</v>
      </c>
      <c r="D16" s="95">
        <f t="shared" si="4"/>
        <v>72693.068772752071</v>
      </c>
      <c r="E16" s="95">
        <f t="shared" si="5"/>
        <v>73260.570702792829</v>
      </c>
      <c r="F16" s="95">
        <f t="shared" si="6"/>
        <v>73832.510880967544</v>
      </c>
      <c r="G16" s="95">
        <f t="shared" si="7"/>
        <v>74408.924078837372</v>
      </c>
      <c r="H16" s="95">
        <f t="shared" si="8"/>
        <v>74989.845340891319</v>
      </c>
      <c r="I16" s="95">
        <f t="shared" si="9"/>
        <v>75575.30998664294</v>
      </c>
      <c r="J16" s="95">
        <f t="shared" si="10"/>
        <v>76165.353612823543</v>
      </c>
      <c r="K16" s="95">
        <f t="shared" si="11"/>
        <v>76760.012095569487</v>
      </c>
      <c r="L16" s="95">
        <f t="shared" si="12"/>
        <v>73260.570702792829</v>
      </c>
      <c r="M16" s="94" t="s">
        <v>1005</v>
      </c>
      <c r="N16" s="94">
        <f>601-$AD$19</f>
        <v>568</v>
      </c>
      <c r="O16" s="94">
        <v>0</v>
      </c>
      <c r="P16" s="94">
        <v>0</v>
      </c>
      <c r="Q16" s="94">
        <v>0</v>
      </c>
      <c r="R16" s="94">
        <f t="shared" si="0"/>
        <v>18.622950819672131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>
      <c r="A17" s="90" t="s">
        <v>1019</v>
      </c>
      <c r="B17" s="91">
        <f t="shared" si="2"/>
        <v>83144.125537455693</v>
      </c>
      <c r="C17" s="91">
        <f t="shared" si="3"/>
        <v>84396.130925607824</v>
      </c>
      <c r="D17" s="91">
        <f t="shared" si="4"/>
        <v>85987.702692650229</v>
      </c>
      <c r="E17" s="91">
        <f t="shared" si="5"/>
        <v>87609.311296325846</v>
      </c>
      <c r="F17" s="91">
        <f t="shared" si="6"/>
        <v>89261.52402797727</v>
      </c>
      <c r="G17" s="91">
        <f t="shared" si="7"/>
        <v>90944.918901188983</v>
      </c>
      <c r="H17" s="91">
        <f t="shared" si="8"/>
        <v>92660.084854520086</v>
      </c>
      <c r="I17" s="91">
        <f t="shared" si="9"/>
        <v>94407.621957993266</v>
      </c>
      <c r="J17" s="91">
        <f t="shared" si="10"/>
        <v>96188.141623986332</v>
      </c>
      <c r="K17" s="91">
        <f t="shared" si="11"/>
        <v>98002.266821423385</v>
      </c>
      <c r="L17" s="91">
        <f t="shared" si="12"/>
        <v>87609.311296325846</v>
      </c>
      <c r="M17" s="90" t="s">
        <v>1020</v>
      </c>
      <c r="N17" s="90">
        <f>1397-$AD$19</f>
        <v>1364</v>
      </c>
      <c r="O17" s="90">
        <v>17</v>
      </c>
      <c r="P17" s="90">
        <f>$AI$2</f>
        <v>0.54</v>
      </c>
      <c r="Q17" s="90">
        <v>6</v>
      </c>
      <c r="R17" s="90">
        <f t="shared" si="0"/>
        <v>44.721311475409834</v>
      </c>
      <c r="S17" s="91">
        <v>100000</v>
      </c>
      <c r="T17" s="91">
        <v>96000</v>
      </c>
      <c r="U17" s="91">
        <f t="shared" si="13"/>
        <v>184944.59194745118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>
      <c r="A18" s="92" t="s">
        <v>967</v>
      </c>
      <c r="B18" s="93">
        <f>$S18/(1+($AC$2-$O18+$P18)/36500)^$N18</f>
        <v>98677.699925191104</v>
      </c>
      <c r="C18" s="93">
        <f t="shared" si="3"/>
        <v>99253.585718682341</v>
      </c>
      <c r="D18" s="93">
        <f>$S18/(1+($AC$4-$O18+$P18)/36500)^$N18</f>
        <v>99978.18046748481</v>
      </c>
      <c r="E18" s="93">
        <f t="shared" si="5"/>
        <v>100708.0751109416</v>
      </c>
      <c r="F18" s="93">
        <f t="shared" si="6"/>
        <v>101443.30848741802</v>
      </c>
      <c r="G18" s="93">
        <f t="shared" si="7"/>
        <v>102183.91972041607</v>
      </c>
      <c r="H18" s="93">
        <f t="shared" si="8"/>
        <v>102929.948220698</v>
      </c>
      <c r="I18" s="93">
        <f t="shared" si="9"/>
        <v>103681.43368836466</v>
      </c>
      <c r="J18" s="93">
        <f t="shared" si="10"/>
        <v>104438.41611503526</v>
      </c>
      <c r="K18" s="93">
        <f t="shared" si="11"/>
        <v>105200.93578594872</v>
      </c>
      <c r="L18" s="93">
        <f t="shared" si="12"/>
        <v>100708.0751109416</v>
      </c>
      <c r="M18" s="92" t="s">
        <v>986</v>
      </c>
      <c r="N18" s="92">
        <f>564-$AD$19</f>
        <v>531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17.409836065573771</v>
      </c>
      <c r="S18" s="93">
        <v>100000</v>
      </c>
      <c r="T18" s="93">
        <v>100000</v>
      </c>
      <c r="U18" s="93">
        <f t="shared" si="13"/>
        <v>134705.88613741694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>
      <c r="A19" s="94" t="s">
        <v>968</v>
      </c>
      <c r="B19" s="95">
        <f t="shared" si="2"/>
        <v>91502.962932657189</v>
      </c>
      <c r="C19" s="95">
        <f t="shared" si="3"/>
        <v>92054.04892164249</v>
      </c>
      <c r="D19" s="95">
        <f t="shared" si="4"/>
        <v>92747.584633219041</v>
      </c>
      <c r="E19" s="95">
        <f t="shared" si="5"/>
        <v>93446.355053459964</v>
      </c>
      <c r="F19" s="95">
        <f t="shared" si="6"/>
        <v>94150.399765685186</v>
      </c>
      <c r="G19" s="95">
        <f t="shared" si="7"/>
        <v>94859.758653130586</v>
      </c>
      <c r="H19" s="95">
        <f t="shared" si="8"/>
        <v>95574.471901132536</v>
      </c>
      <c r="I19" s="95">
        <f t="shared" si="9"/>
        <v>96294.579999489011</v>
      </c>
      <c r="J19" s="95">
        <f t="shared" si="10"/>
        <v>97020.12374474798</v>
      </c>
      <c r="K19" s="95">
        <f t="shared" si="11"/>
        <v>97751.144242502196</v>
      </c>
      <c r="L19" s="95">
        <f t="shared" si="12"/>
        <v>93446.355053459964</v>
      </c>
      <c r="M19" s="94" t="s">
        <v>987</v>
      </c>
      <c r="N19" s="94">
        <f>581-$AD$19</f>
        <v>548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17.967213114754099</v>
      </c>
      <c r="S19" s="95">
        <v>100000</v>
      </c>
      <c r="T19" s="95">
        <v>92000</v>
      </c>
      <c r="U19" s="95">
        <f t="shared" si="13"/>
        <v>126162.44892264927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33</v>
      </c>
      <c r="AF19" s="26"/>
    </row>
    <row r="20" spans="1:32">
      <c r="A20" s="90" t="s">
        <v>961</v>
      </c>
      <c r="B20" s="91">
        <f>$S20/(1+($AC$2-$O20+$P20)/36500)^$N20</f>
        <v>98507.164209386785</v>
      </c>
      <c r="C20" s="91">
        <f t="shared" si="3"/>
        <v>99157.003937763409</v>
      </c>
      <c r="D20" s="91">
        <f t="shared" si="4"/>
        <v>99975.345510542029</v>
      </c>
      <c r="E20" s="91">
        <f t="shared" si="5"/>
        <v>100800.45219583091</v>
      </c>
      <c r="F20" s="91">
        <f t="shared" si="6"/>
        <v>101632.38001368174</v>
      </c>
      <c r="G20" s="91">
        <f t="shared" si="7"/>
        <v>102471.18544879394</v>
      </c>
      <c r="H20" s="91">
        <f t="shared" si="8"/>
        <v>103316.92545440474</v>
      </c>
      <c r="I20" s="91">
        <f t="shared" si="9"/>
        <v>104169.65745614262</v>
      </c>
      <c r="J20" s="91">
        <f t="shared" si="10"/>
        <v>105029.43935601077</v>
      </c>
      <c r="K20" s="91">
        <f t="shared" si="11"/>
        <v>105896.32953629606</v>
      </c>
      <c r="L20" s="91">
        <f t="shared" si="12"/>
        <v>100800.45219583091</v>
      </c>
      <c r="M20" s="90" t="s">
        <v>988</v>
      </c>
      <c r="N20" s="90">
        <f>633-$AD$19</f>
        <v>600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19.672131147540984</v>
      </c>
      <c r="S20" s="91">
        <v>100000</v>
      </c>
      <c r="T20" s="91">
        <v>100000</v>
      </c>
      <c r="U20" s="91">
        <f t="shared" si="13"/>
        <v>140023.04497715097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>
      <c r="A21" s="92" t="s">
        <v>954</v>
      </c>
      <c r="B21" s="93">
        <f t="shared" si="2"/>
        <v>98339.388373473586</v>
      </c>
      <c r="C21" s="93">
        <f t="shared" si="3"/>
        <v>99061.913841915797</v>
      </c>
      <c r="D21" s="93">
        <f t="shared" si="4"/>
        <v>99972.551718580013</v>
      </c>
      <c r="E21" s="93">
        <f t="shared" si="5"/>
        <v>100891.57338411782</v>
      </c>
      <c r="F21" s="93">
        <f t="shared" si="6"/>
        <v>101819.05614034229</v>
      </c>
      <c r="G21" s="93">
        <f t="shared" si="7"/>
        <v>102755.07800287521</v>
      </c>
      <c r="H21" s="93">
        <f t="shared" si="8"/>
        <v>103699.71770778156</v>
      </c>
      <c r="I21" s="93">
        <f t="shared" si="9"/>
        <v>104653.05471818823</v>
      </c>
      <c r="J21" s="93">
        <f t="shared" si="10"/>
        <v>105615.16923107357</v>
      </c>
      <c r="K21" s="93">
        <f t="shared" si="11"/>
        <v>106586.14218399972</v>
      </c>
      <c r="L21" s="93">
        <f t="shared" si="12"/>
        <v>100891.57338411782</v>
      </c>
      <c r="M21" s="92" t="s">
        <v>989</v>
      </c>
      <c r="N21" s="92">
        <f>701-$AD$19</f>
        <v>668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21.901639344262296</v>
      </c>
      <c r="S21" s="93">
        <v>100000</v>
      </c>
      <c r="T21" s="93">
        <v>100000</v>
      </c>
      <c r="U21" s="93">
        <f t="shared" si="13"/>
        <v>145468.44498204524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969</v>
      </c>
      <c r="B22" s="95">
        <f t="shared" si="2"/>
        <v>92816.85896721379</v>
      </c>
      <c r="C22" s="95">
        <f t="shared" si="3"/>
        <v>93526.419364053494</v>
      </c>
      <c r="D22" s="95">
        <f t="shared" si="4"/>
        <v>94421.013858715829</v>
      </c>
      <c r="E22" s="95">
        <f t="shared" si="5"/>
        <v>95324.177716415172</v>
      </c>
      <c r="F22" s="95">
        <f t="shared" si="6"/>
        <v>96235.993142572144</v>
      </c>
      <c r="G22" s="95">
        <f t="shared" si="7"/>
        <v>97156.543132304883</v>
      </c>
      <c r="H22" s="95">
        <f t="shared" si="8"/>
        <v>98085.911478103691</v>
      </c>
      <c r="I22" s="95">
        <f t="shared" si="9"/>
        <v>99024.18277741257</v>
      </c>
      <c r="J22" s="95">
        <f t="shared" si="10"/>
        <v>99971.442440484345</v>
      </c>
      <c r="K22" s="95">
        <f t="shared" si="11"/>
        <v>100927.77669808532</v>
      </c>
      <c r="L22" s="95">
        <f t="shared" si="12"/>
        <v>95324.177716415172</v>
      </c>
      <c r="M22" s="94" t="s">
        <v>1018</v>
      </c>
      <c r="N22" s="94">
        <f>728-$AD$19</f>
        <v>695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22.78688524590164</v>
      </c>
      <c r="S22" s="95">
        <v>100000</v>
      </c>
      <c r="T22" s="95">
        <v>95000</v>
      </c>
      <c r="U22" s="95">
        <f t="shared" si="13"/>
        <v>139489.36182598572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970</v>
      </c>
      <c r="B23" s="91">
        <f t="shared" si="2"/>
        <v>90178.190167467619</v>
      </c>
      <c r="C23" s="91">
        <f t="shared" si="3"/>
        <v>90810.806235685901</v>
      </c>
      <c r="D23" s="91">
        <f t="shared" si="4"/>
        <v>91607.830649476382</v>
      </c>
      <c r="E23" s="91">
        <f t="shared" si="5"/>
        <v>92411.861413905921</v>
      </c>
      <c r="F23" s="91">
        <f t="shared" si="6"/>
        <v>93222.9602164471</v>
      </c>
      <c r="G23" s="91">
        <f t="shared" si="7"/>
        <v>94041.189288614347</v>
      </c>
      <c r="H23" s="91">
        <f t="shared" si="8"/>
        <v>94866.611410663347</v>
      </c>
      <c r="I23" s="91">
        <f t="shared" si="9"/>
        <v>95699.289916517009</v>
      </c>
      <c r="J23" s="91">
        <f t="shared" si="10"/>
        <v>96539.288698629432</v>
      </c>
      <c r="K23" s="91">
        <f t="shared" si="11"/>
        <v>97386.672212880731</v>
      </c>
      <c r="L23" s="91">
        <f t="shared" si="12"/>
        <v>92411.861413905921</v>
      </c>
      <c r="M23" s="90" t="s">
        <v>990</v>
      </c>
      <c r="N23" s="90">
        <f>671-$AD$19</f>
        <v>638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20.918032786885245</v>
      </c>
      <c r="S23" s="91">
        <v>100000</v>
      </c>
      <c r="T23" s="91">
        <v>90600</v>
      </c>
      <c r="U23" s="91">
        <f t="shared" si="13"/>
        <v>131070.88247594581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>
      <c r="A24" s="92" t="s">
        <v>971</v>
      </c>
      <c r="B24" s="93">
        <f t="shared" si="2"/>
        <v>83444.102890956798</v>
      </c>
      <c r="C24" s="93">
        <f t="shared" si="3"/>
        <v>84319.059584366507</v>
      </c>
      <c r="D24" s="93">
        <f>$S24/(1+($AC$4-$O24+$P24)/36500)^$N24</f>
        <v>85425.68192611562</v>
      </c>
      <c r="E24" s="93">
        <f t="shared" si="5"/>
        <v>86546.84328493214</v>
      </c>
      <c r="F24" s="93">
        <f t="shared" si="6"/>
        <v>87682.734880295146</v>
      </c>
      <c r="G24" s="93">
        <f t="shared" si="7"/>
        <v>88833.550449326911</v>
      </c>
      <c r="H24" s="93">
        <f t="shared" si="8"/>
        <v>89999.486279874196</v>
      </c>
      <c r="I24" s="93">
        <f t="shared" si="9"/>
        <v>91180.74124429471</v>
      </c>
      <c r="J24" s="93">
        <f t="shared" si="10"/>
        <v>92377.516833348971</v>
      </c>
      <c r="K24" s="93">
        <f t="shared" si="11"/>
        <v>93590.01719086185</v>
      </c>
      <c r="L24" s="93">
        <f t="shared" si="12"/>
        <v>86546.84328493214</v>
      </c>
      <c r="M24" s="92" t="s">
        <v>991</v>
      </c>
      <c r="N24" s="92">
        <f>985-$AD$19</f>
        <v>952</v>
      </c>
      <c r="O24" s="92">
        <v>15</v>
      </c>
      <c r="P24" s="92">
        <f>$AI$2</f>
        <v>0.54</v>
      </c>
      <c r="Q24" s="92">
        <v>6</v>
      </c>
      <c r="R24" s="92">
        <f t="shared" si="0"/>
        <v>31.21311475409836</v>
      </c>
      <c r="S24" s="93">
        <v>100000</v>
      </c>
      <c r="T24" s="93">
        <v>85800</v>
      </c>
      <c r="U24" s="93">
        <f t="shared" si="13"/>
        <v>145790.74272767684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945</v>
      </c>
      <c r="B25" s="95">
        <f t="shared" si="2"/>
        <v>82413.349344966075</v>
      </c>
      <c r="C25" s="95">
        <f t="shared" si="3"/>
        <v>82711.758083624227</v>
      </c>
      <c r="D25" s="95">
        <f t="shared" si="4"/>
        <v>83086.293546144283</v>
      </c>
      <c r="E25" s="95">
        <f t="shared" si="5"/>
        <v>83462.530143144089</v>
      </c>
      <c r="F25" s="95">
        <f t="shared" si="6"/>
        <v>83840.475624608895</v>
      </c>
      <c r="G25" s="95">
        <f t="shared" si="7"/>
        <v>84220.137775919953</v>
      </c>
      <c r="H25" s="95">
        <f t="shared" si="8"/>
        <v>84601.524418052795</v>
      </c>
      <c r="I25" s="95">
        <f t="shared" si="9"/>
        <v>84984.643407707976</v>
      </c>
      <c r="J25" s="95">
        <f t="shared" si="10"/>
        <v>85369.502637495272</v>
      </c>
      <c r="K25" s="95">
        <f t="shared" si="11"/>
        <v>85756.110036102997</v>
      </c>
      <c r="L25" s="95">
        <f t="shared" si="12"/>
        <v>83462.530143144089</v>
      </c>
      <c r="M25" s="94" t="s">
        <v>992</v>
      </c>
      <c r="N25" s="94">
        <f>363-$AD$19</f>
        <v>330</v>
      </c>
      <c r="O25" s="94">
        <v>0</v>
      </c>
      <c r="P25" s="94">
        <v>0</v>
      </c>
      <c r="Q25" s="94">
        <v>0</v>
      </c>
      <c r="R25" s="94">
        <f t="shared" si="0"/>
        <v>10.819672131147541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980</v>
      </c>
      <c r="B26" s="91">
        <f t="shared" si="2"/>
        <v>93636.899940189993</v>
      </c>
      <c r="C26" s="91">
        <f t="shared" si="3"/>
        <v>94914.838631186314</v>
      </c>
      <c r="D26" s="91">
        <f t="shared" si="4"/>
        <v>96536.836482773026</v>
      </c>
      <c r="E26" s="91">
        <f t="shared" si="5"/>
        <v>98186.575414793318</v>
      </c>
      <c r="F26" s="91">
        <f t="shared" si="6"/>
        <v>99864.530273640863</v>
      </c>
      <c r="G26" s="91">
        <f t="shared" si="7"/>
        <v>101571.18404032274</v>
      </c>
      <c r="H26" s="91">
        <f t="shared" si="8"/>
        <v>103307.02797001039</v>
      </c>
      <c r="I26" s="91">
        <f t="shared" si="9"/>
        <v>105072.56173384697</v>
      </c>
      <c r="J26" s="91">
        <f t="shared" si="10"/>
        <v>106868.29356324651</v>
      </c>
      <c r="K26" s="91">
        <f t="shared" si="11"/>
        <v>108694.74039672824</v>
      </c>
      <c r="L26" s="91">
        <f t="shared" si="12"/>
        <v>98186.575414793318</v>
      </c>
      <c r="M26" s="90" t="s">
        <v>983</v>
      </c>
      <c r="N26" s="90">
        <f>1270-$AD$19</f>
        <v>1237</v>
      </c>
      <c r="O26" s="90">
        <v>20</v>
      </c>
      <c r="P26" s="90">
        <f>$AI$2</f>
        <v>0.54</v>
      </c>
      <c r="Q26" s="90">
        <v>6</v>
      </c>
      <c r="R26" s="90">
        <f t="shared" si="0"/>
        <v>40.557377049180324</v>
      </c>
      <c r="S26" s="91">
        <v>100000</v>
      </c>
      <c r="T26" s="91">
        <v>100000</v>
      </c>
      <c r="U26" s="91">
        <f t="shared" si="13"/>
        <v>193343.19159321932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984</v>
      </c>
      <c r="B27" s="93">
        <f t="shared" si="2"/>
        <v>100074.78145910012</v>
      </c>
      <c r="C27" s="93">
        <f t="shared" si="3"/>
        <v>100427.44804456863</v>
      </c>
      <c r="D27" s="93">
        <f t="shared" si="4"/>
        <v>100870.03495640258</v>
      </c>
      <c r="E27" s="93">
        <f t="shared" si="5"/>
        <v>101314.57846578947</v>
      </c>
      <c r="F27" s="93">
        <f t="shared" si="6"/>
        <v>101761.08724948319</v>
      </c>
      <c r="G27" s="93">
        <f t="shared" si="7"/>
        <v>102209.57002282169</v>
      </c>
      <c r="H27" s="93">
        <f t="shared" si="8"/>
        <v>102660.03553993006</v>
      </c>
      <c r="I27" s="93">
        <f t="shared" si="9"/>
        <v>103112.49259386765</v>
      </c>
      <c r="J27" s="93">
        <f t="shared" si="10"/>
        <v>103566.95001680944</v>
      </c>
      <c r="K27" s="93">
        <f t="shared" si="11"/>
        <v>104023.41668022411</v>
      </c>
      <c r="L27" s="93">
        <f t="shared" si="12"/>
        <v>101314.57846578947</v>
      </c>
      <c r="M27" s="92" t="s">
        <v>985</v>
      </c>
      <c r="N27" s="92">
        <f>354-$AD$19</f>
        <v>321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10.524590163934427</v>
      </c>
      <c r="S27" s="93">
        <v>100000</v>
      </c>
      <c r="T27" s="93">
        <v>103000</v>
      </c>
      <c r="U27" s="93">
        <f t="shared" si="13"/>
        <v>120791.42653920046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1010</v>
      </c>
      <c r="B28" s="95">
        <f t="shared" si="2"/>
        <v>99190.150861841583</v>
      </c>
      <c r="C28" s="95">
        <f t="shared" si="3"/>
        <v>100000</v>
      </c>
      <c r="D28" s="95">
        <f t="shared" si="4"/>
        <v>101021.62867065641</v>
      </c>
      <c r="E28" s="95">
        <f t="shared" si="5"/>
        <v>102053.70880287158</v>
      </c>
      <c r="F28" s="95">
        <f t="shared" si="6"/>
        <v>103096.34746253595</v>
      </c>
      <c r="G28" s="95">
        <f t="shared" si="7"/>
        <v>104149.6528137823</v>
      </c>
      <c r="H28" s="95">
        <f t="shared" si="8"/>
        <v>105213.73413036922</v>
      </c>
      <c r="I28" s="95">
        <f t="shared" si="9"/>
        <v>106288.70180696837</v>
      </c>
      <c r="J28" s="95">
        <f t="shared" si="10"/>
        <v>107374.66737075159</v>
      </c>
      <c r="K28" s="95">
        <f t="shared" si="11"/>
        <v>108471.74349298365</v>
      </c>
      <c r="L28" s="95">
        <f t="shared" si="12"/>
        <v>102053.70880287158</v>
      </c>
      <c r="M28" s="94" t="s">
        <v>1011</v>
      </c>
      <c r="N28" s="94">
        <f>775-$AD$19</f>
        <v>742</v>
      </c>
      <c r="O28" s="94">
        <v>21</v>
      </c>
      <c r="P28" s="94">
        <v>0</v>
      </c>
      <c r="Q28" s="94">
        <v>1</v>
      </c>
      <c r="R28" s="94">
        <f t="shared" si="0"/>
        <v>24.327868852459016</v>
      </c>
      <c r="S28" s="95">
        <v>100000</v>
      </c>
      <c r="T28" s="95">
        <v>104000</v>
      </c>
      <c r="U28" s="95">
        <f t="shared" si="13"/>
        <v>153231.04171930262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1060</v>
      </c>
      <c r="B29" s="91">
        <f t="shared" si="2"/>
        <v>83890.095267276134</v>
      </c>
      <c r="C29" s="91">
        <f t="shared" si="3"/>
        <v>85091.773560832982</v>
      </c>
      <c r="D29" s="91">
        <f t="shared" si="4"/>
        <v>86618.125521729642</v>
      </c>
      <c r="E29" s="91">
        <f t="shared" si="5"/>
        <v>88171.878220245038</v>
      </c>
      <c r="F29" s="91">
        <f t="shared" si="6"/>
        <v>89753.523933852455</v>
      </c>
      <c r="G29" s="91">
        <f t="shared" si="7"/>
        <v>91363.563791219422</v>
      </c>
      <c r="H29" s="91">
        <f t="shared" si="8"/>
        <v>93002.507931403641</v>
      </c>
      <c r="I29" s="91">
        <f t="shared" si="9"/>
        <v>94670.87566583867</v>
      </c>
      <c r="J29" s="91">
        <f t="shared" si="10"/>
        <v>96369.195643708488</v>
      </c>
      <c r="K29" s="91">
        <f t="shared" si="11"/>
        <v>98098.006019638851</v>
      </c>
      <c r="L29" s="91">
        <f t="shared" si="12"/>
        <v>88171.878220245038</v>
      </c>
      <c r="M29" s="90" t="s">
        <v>1061</v>
      </c>
      <c r="N29" s="90">
        <f>1331-$AD$19</f>
        <v>1298</v>
      </c>
      <c r="O29" s="90">
        <v>17</v>
      </c>
      <c r="P29" s="90">
        <f>AI2</f>
        <v>0.54</v>
      </c>
      <c r="Q29" s="90">
        <v>6</v>
      </c>
      <c r="R29" s="90">
        <f t="shared" si="0"/>
        <v>42.557377049180324</v>
      </c>
      <c r="S29" s="91">
        <v>100000</v>
      </c>
      <c r="T29" s="91"/>
      <c r="U29" s="91">
        <f t="shared" si="13"/>
        <v>179523.07019437655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1073</v>
      </c>
    </row>
    <row r="2" spans="1:1">
      <c r="A2" t="s">
        <v>1074</v>
      </c>
    </row>
    <row r="3" spans="1:1">
      <c r="A3" t="s">
        <v>1075</v>
      </c>
    </row>
    <row r="4" spans="1:1">
      <c r="A4" t="s">
        <v>1076</v>
      </c>
    </row>
    <row r="5" spans="1:1">
      <c r="A5" t="s">
        <v>1077</v>
      </c>
    </row>
    <row r="6" spans="1:1">
      <c r="A6" t="s">
        <v>1120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7"/>
  <sheetViews>
    <sheetView topLeftCell="A16" workbookViewId="0">
      <selection activeCell="G46" sqref="G46"/>
    </sheetView>
  </sheetViews>
  <sheetFormatPr defaultRowHeight="15"/>
  <cols>
    <col min="6" max="6" width="13.7109375" bestFit="1" customWidth="1"/>
    <col min="7" max="7" width="25.140625" bestFit="1" customWidth="1"/>
    <col min="9" max="9" width="29.42578125" customWidth="1"/>
    <col min="10" max="10" width="12.425781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9" t="s">
        <v>1121</v>
      </c>
      <c r="AI1" s="139"/>
      <c r="AJ1" s="139"/>
      <c r="AK1" s="139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9"/>
      <c r="AI2" s="139"/>
      <c r="AJ2" s="139"/>
      <c r="AK2" s="139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40" t="s">
        <v>1122</v>
      </c>
      <c r="AI3" s="141" t="s">
        <v>1123</v>
      </c>
      <c r="AJ3" s="140" t="s">
        <v>1124</v>
      </c>
      <c r="AK3" s="142" t="s">
        <v>1125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40"/>
      <c r="AI4" s="141"/>
      <c r="AJ4" s="140"/>
      <c r="AK4" s="142"/>
    </row>
    <row r="5" spans="1:37" ht="30.75" customHeight="1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1173</v>
      </c>
      <c r="AE10" s="105">
        <v>28</v>
      </c>
      <c r="AF10" s="105"/>
      <c r="AG10" s="105"/>
      <c r="AH10" s="105"/>
      <c r="AI10" s="105"/>
    </row>
    <row r="11" spans="1:37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1169</v>
      </c>
      <c r="AC14" s="105" t="s">
        <v>1170</v>
      </c>
      <c r="AD14" s="105" t="s">
        <v>1171</v>
      </c>
      <c r="AE14" s="105" t="s">
        <v>183</v>
      </c>
      <c r="AF14" s="105" t="s">
        <v>960</v>
      </c>
      <c r="AG14" s="105" t="s">
        <v>1172</v>
      </c>
      <c r="AH14" s="105" t="s">
        <v>1181</v>
      </c>
      <c r="AI14" s="105" t="s">
        <v>1174</v>
      </c>
    </row>
    <row r="15" spans="1:37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1175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1176</v>
      </c>
    </row>
    <row r="17" spans="1:3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1177</v>
      </c>
    </row>
    <row r="18" spans="1:3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1178</v>
      </c>
    </row>
    <row r="19" spans="1:3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1179</v>
      </c>
    </row>
    <row r="20" spans="1:3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1180</v>
      </c>
    </row>
    <row r="21" spans="1:3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>
      <c r="AD23" t="s">
        <v>25</v>
      </c>
    </row>
    <row r="28" spans="1:35">
      <c r="E28" t="s">
        <v>25</v>
      </c>
    </row>
    <row r="35" spans="6:9">
      <c r="F35" s="98" t="s">
        <v>1150</v>
      </c>
      <c r="G35" s="98">
        <v>24</v>
      </c>
    </row>
    <row r="36" spans="6:9">
      <c r="F36" s="98" t="s">
        <v>1149</v>
      </c>
      <c r="G36" s="98">
        <v>21.6</v>
      </c>
    </row>
    <row r="37" spans="6:9">
      <c r="F37" s="98" t="s">
        <v>1151</v>
      </c>
      <c r="G37" s="98">
        <v>31.1</v>
      </c>
    </row>
    <row r="38" spans="6:9">
      <c r="F38" s="98" t="s">
        <v>1152</v>
      </c>
      <c r="G38" s="98">
        <v>8.1329999999999991</v>
      </c>
    </row>
    <row r="39" spans="6:9">
      <c r="F39" s="98" t="s">
        <v>1153</v>
      </c>
      <c r="G39" s="98">
        <v>1325</v>
      </c>
    </row>
    <row r="40" spans="6:9">
      <c r="F40" s="98" t="s">
        <v>1154</v>
      </c>
      <c r="G40" s="98">
        <v>4800</v>
      </c>
    </row>
    <row r="41" spans="6:9">
      <c r="F41" s="98" t="s">
        <v>1156</v>
      </c>
      <c r="G41" s="98">
        <v>5000</v>
      </c>
    </row>
    <row r="42" spans="6:9">
      <c r="F42" s="98" t="s">
        <v>1155</v>
      </c>
      <c r="G42" s="101">
        <f>G36*G38*G39*G40/(G35*G37)+G41</f>
        <v>1501890.4180064306</v>
      </c>
    </row>
    <row r="43" spans="6:9">
      <c r="F43" s="99"/>
      <c r="G43" s="100"/>
    </row>
    <row r="44" spans="6:9">
      <c r="F44" s="99"/>
      <c r="G44" s="99" t="s">
        <v>1235</v>
      </c>
    </row>
    <row r="45" spans="6:9">
      <c r="H45" t="s">
        <v>1276</v>
      </c>
    </row>
    <row r="46" spans="6:9">
      <c r="H46" t="s">
        <v>1277</v>
      </c>
      <c r="I46" t="s">
        <v>1279</v>
      </c>
    </row>
    <row r="47" spans="6:9">
      <c r="H47" t="s">
        <v>1278</v>
      </c>
      <c r="I47" t="s">
        <v>1280</v>
      </c>
    </row>
    <row r="50" spans="1:10" ht="14.25" customHeight="1"/>
    <row r="60" spans="1:10">
      <c r="A60" s="138"/>
      <c r="B60" s="138"/>
      <c r="C60" s="138"/>
      <c r="D60" s="138"/>
      <c r="E60" s="137"/>
      <c r="F60" s="138"/>
      <c r="G60" s="138"/>
      <c r="H60" s="138"/>
      <c r="I60" s="138"/>
      <c r="J60" s="137"/>
    </row>
    <row r="61" spans="1:10">
      <c r="A61" s="137"/>
      <c r="B61" s="137"/>
      <c r="C61" s="137"/>
      <c r="D61" s="137"/>
      <c r="E61" s="137"/>
      <c r="F61" s="137"/>
      <c r="G61" s="137"/>
      <c r="H61" s="137"/>
      <c r="I61" s="137"/>
      <c r="J61" s="122"/>
    </row>
    <row r="62" spans="1:10">
      <c r="A62" s="137"/>
      <c r="B62" s="137"/>
      <c r="C62" s="137"/>
      <c r="D62" s="137"/>
      <c r="E62" s="137"/>
      <c r="F62" s="137"/>
      <c r="G62" s="137"/>
      <c r="H62" s="137"/>
      <c r="I62" s="137"/>
      <c r="J62" s="122"/>
    </row>
    <row r="63" spans="1:10">
      <c r="A63" s="137"/>
      <c r="B63" s="137"/>
      <c r="C63" s="137"/>
      <c r="D63" s="137"/>
      <c r="E63" s="137"/>
      <c r="F63" s="137"/>
      <c r="G63" s="137"/>
      <c r="H63" s="137"/>
      <c r="I63" s="137"/>
      <c r="J63" s="122"/>
    </row>
    <row r="64" spans="1:10">
      <c r="A64" s="137"/>
      <c r="B64" s="137"/>
      <c r="C64" s="137"/>
      <c r="D64" s="137"/>
      <c r="E64" s="137"/>
      <c r="F64" s="137"/>
      <c r="G64" s="137"/>
      <c r="H64" s="137"/>
      <c r="I64" s="137"/>
      <c r="J64" s="122"/>
    </row>
    <row r="65" spans="1:10">
      <c r="A65" s="137"/>
      <c r="B65" s="137"/>
      <c r="C65" s="137"/>
      <c r="D65" s="137"/>
      <c r="E65" s="137"/>
      <c r="F65" s="137"/>
      <c r="G65" s="137"/>
      <c r="H65" s="137"/>
      <c r="I65" s="137"/>
      <c r="J65" s="122"/>
    </row>
    <row r="66" spans="1:10">
      <c r="A66" s="137"/>
      <c r="B66" s="137"/>
      <c r="C66" s="137"/>
      <c r="D66" s="137"/>
      <c r="E66" s="137"/>
      <c r="F66" s="137"/>
      <c r="G66" s="137"/>
      <c r="H66" s="137"/>
      <c r="I66" s="137"/>
      <c r="J66" s="122"/>
    </row>
    <row r="67" spans="1:10">
      <c r="A67" s="137"/>
      <c r="B67" s="137"/>
      <c r="C67" s="137"/>
      <c r="D67" s="137"/>
      <c r="E67" s="137"/>
      <c r="F67" s="137"/>
      <c r="G67" s="137"/>
      <c r="H67" s="137"/>
      <c r="I67" s="137"/>
      <c r="J67" s="122"/>
    </row>
    <row r="68" spans="1:10">
      <c r="A68" s="137"/>
      <c r="B68" s="137"/>
      <c r="C68" s="137"/>
      <c r="D68" s="137"/>
      <c r="E68" s="137"/>
      <c r="F68" s="137"/>
      <c r="G68" s="137"/>
      <c r="H68" s="137"/>
      <c r="I68" s="137"/>
      <c r="J68" s="122"/>
    </row>
    <row r="69" spans="1:10">
      <c r="A69" s="137"/>
      <c r="B69" s="137"/>
      <c r="C69" s="137"/>
      <c r="D69" s="137"/>
      <c r="E69" s="137"/>
      <c r="F69" s="137"/>
      <c r="G69" s="137"/>
      <c r="H69" s="137"/>
      <c r="I69" s="137"/>
      <c r="J69" s="122"/>
    </row>
    <row r="70" spans="1:10">
      <c r="A70" s="137"/>
      <c r="B70" s="137"/>
      <c r="C70" s="137"/>
      <c r="D70" s="137"/>
      <c r="E70" s="137"/>
      <c r="F70" s="137"/>
      <c r="G70" s="137"/>
      <c r="H70" s="137"/>
      <c r="I70" s="137"/>
      <c r="J70" s="122"/>
    </row>
    <row r="71" spans="1:10">
      <c r="A71" s="137"/>
      <c r="B71" s="137"/>
      <c r="C71" s="137"/>
      <c r="D71" s="137"/>
      <c r="E71" s="137"/>
      <c r="F71" s="137"/>
      <c r="G71" s="137"/>
      <c r="H71" s="137"/>
      <c r="I71" s="137"/>
      <c r="J71" s="122"/>
    </row>
    <row r="72" spans="1:10">
      <c r="A72" s="137"/>
      <c r="B72" s="137"/>
      <c r="C72" s="137"/>
      <c r="D72" s="137"/>
      <c r="E72" s="137"/>
      <c r="F72" s="137"/>
      <c r="G72" s="137"/>
      <c r="H72" s="137"/>
      <c r="I72" s="137"/>
      <c r="J72" s="122"/>
    </row>
    <row r="73" spans="1:10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10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10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10">
      <c r="A76" s="121"/>
      <c r="B76" s="121"/>
      <c r="C76" s="121"/>
      <c r="D76" s="121"/>
      <c r="E76" s="121"/>
      <c r="F76" s="121"/>
      <c r="G76" s="121"/>
      <c r="H76" s="121"/>
      <c r="I76" s="121"/>
      <c r="J76" s="121"/>
    </row>
    <row r="77" spans="1:10">
      <c r="A77" s="121"/>
      <c r="B77" s="121"/>
      <c r="C77" s="121"/>
      <c r="D77" s="121"/>
      <c r="E77" s="121"/>
      <c r="F77" s="121"/>
      <c r="G77" s="121"/>
      <c r="H77" s="121"/>
      <c r="I77" s="121"/>
      <c r="J77" s="121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>
      <c r="A1" t="s">
        <v>1204</v>
      </c>
    </row>
    <row r="2" spans="1:12">
      <c r="A2">
        <v>1</v>
      </c>
      <c r="B2" t="s">
        <v>1205</v>
      </c>
      <c r="G2" t="s">
        <v>1206</v>
      </c>
    </row>
    <row r="3" spans="1:12">
      <c r="G3" s="129" t="s">
        <v>1207</v>
      </c>
    </row>
    <row r="4" spans="1:12">
      <c r="G4" t="s">
        <v>1208</v>
      </c>
      <c r="H4" t="s">
        <v>1209</v>
      </c>
      <c r="K4" t="s">
        <v>1220</v>
      </c>
      <c r="L4" s="129" t="s">
        <v>1221</v>
      </c>
    </row>
    <row r="5" spans="1:12">
      <c r="G5" t="s">
        <v>1210</v>
      </c>
      <c r="H5" t="s">
        <v>1211</v>
      </c>
    </row>
    <row r="6" spans="1:12">
      <c r="H6" t="s">
        <v>1212</v>
      </c>
    </row>
    <row r="7" spans="1:12">
      <c r="H7" t="s">
        <v>1213</v>
      </c>
    </row>
    <row r="9" spans="1:12">
      <c r="H9" t="s">
        <v>1219</v>
      </c>
    </row>
    <row r="19" spans="1:12">
      <c r="L19" t="s">
        <v>1226</v>
      </c>
    </row>
    <row r="20" spans="1:12">
      <c r="A20">
        <v>2</v>
      </c>
      <c r="B20" t="s">
        <v>1214</v>
      </c>
      <c r="G20" t="s">
        <v>1215</v>
      </c>
      <c r="H20" t="s">
        <v>1216</v>
      </c>
      <c r="L20" t="s">
        <v>1227</v>
      </c>
    </row>
    <row r="21" spans="1:12">
      <c r="G21" s="129" t="s">
        <v>1217</v>
      </c>
      <c r="H21" t="s">
        <v>1218</v>
      </c>
      <c r="L21" t="s">
        <v>1228</v>
      </c>
    </row>
    <row r="22" spans="1:12">
      <c r="L22" t="s">
        <v>1229</v>
      </c>
    </row>
    <row r="23" spans="1:12">
      <c r="L23" t="s">
        <v>1230</v>
      </c>
    </row>
    <row r="24" spans="1:12">
      <c r="L24" t="s">
        <v>1231</v>
      </c>
    </row>
    <row r="25" spans="1:12">
      <c r="L25" t="s">
        <v>1232</v>
      </c>
    </row>
    <row r="30" spans="1:12">
      <c r="A30">
        <v>3</v>
      </c>
      <c r="B30" t="s">
        <v>1222</v>
      </c>
      <c r="G30" t="s">
        <v>1223</v>
      </c>
      <c r="H30" s="129" t="s">
        <v>1224</v>
      </c>
      <c r="I30" t="s">
        <v>1225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4" activePane="bottomLeft" state="frozen"/>
      <selection pane="bottomLeft" activeCell="G206" sqref="G206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695</v>
      </c>
      <c r="E2" s="11">
        <f>IF(B2&gt;0,1,0)</f>
        <v>1</v>
      </c>
      <c r="F2" s="11">
        <f>B2*(D2-E2)</f>
        <v>67109800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693</v>
      </c>
      <c r="E3" s="11">
        <f t="shared" ref="E3:E66" si="1">IF(B3&gt;0,1,0)</f>
        <v>1</v>
      </c>
      <c r="F3" s="11">
        <f t="shared" ref="F3:F66" si="2">B3*(D3-E3)</f>
        <v>2076000000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690</v>
      </c>
      <c r="E4" s="11">
        <f t="shared" si="1"/>
        <v>0</v>
      </c>
      <c r="F4" s="11">
        <f t="shared" si="2"/>
        <v>-138000000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688</v>
      </c>
      <c r="E5" s="11">
        <f t="shared" si="1"/>
        <v>0</v>
      </c>
      <c r="F5" s="11">
        <f t="shared" si="2"/>
        <v>-68800000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687</v>
      </c>
      <c r="E6" s="11">
        <f t="shared" si="1"/>
        <v>0</v>
      </c>
      <c r="F6" s="11">
        <f t="shared" si="2"/>
        <v>-37785000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686</v>
      </c>
      <c r="E7" s="11">
        <f t="shared" si="1"/>
        <v>0</v>
      </c>
      <c r="F7" s="11">
        <f t="shared" si="2"/>
        <v>-137200000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682</v>
      </c>
      <c r="E8" s="11">
        <f t="shared" si="1"/>
        <v>0</v>
      </c>
      <c r="F8" s="11">
        <f t="shared" si="2"/>
        <v>-136400000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672</v>
      </c>
      <c r="E9" s="11">
        <f t="shared" si="1"/>
        <v>0</v>
      </c>
      <c r="F9" s="11">
        <f t="shared" si="2"/>
        <v>-638736000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671</v>
      </c>
      <c r="E10" s="11">
        <f t="shared" si="1"/>
        <v>1</v>
      </c>
      <c r="F10" s="11">
        <f t="shared" si="2"/>
        <v>1340000000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669</v>
      </c>
      <c r="E11" s="11">
        <f t="shared" si="1"/>
        <v>0</v>
      </c>
      <c r="F11" s="11">
        <f t="shared" si="2"/>
        <v>-712485000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666</v>
      </c>
      <c r="E12" s="11">
        <f t="shared" si="1"/>
        <v>0</v>
      </c>
      <c r="F12" s="11">
        <f t="shared" si="2"/>
        <v>-29970000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665</v>
      </c>
      <c r="E13" s="11">
        <f t="shared" si="1"/>
        <v>0</v>
      </c>
      <c r="F13" s="11">
        <f t="shared" si="2"/>
        <v>-1330465500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661</v>
      </c>
      <c r="E14" s="11">
        <f t="shared" si="1"/>
        <v>0</v>
      </c>
      <c r="F14" s="11">
        <f t="shared" si="2"/>
        <v>-132200000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659</v>
      </c>
      <c r="E15" s="11">
        <f t="shared" si="1"/>
        <v>1</v>
      </c>
      <c r="F15" s="11">
        <f t="shared" si="2"/>
        <v>1316000000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659</v>
      </c>
      <c r="E16" s="11">
        <f t="shared" si="1"/>
        <v>1</v>
      </c>
      <c r="F16" s="11">
        <f t="shared" si="2"/>
        <v>1316000000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659</v>
      </c>
      <c r="E17" s="11">
        <f t="shared" si="1"/>
        <v>1</v>
      </c>
      <c r="F17" s="11">
        <f t="shared" si="2"/>
        <v>789600000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659</v>
      </c>
      <c r="E18" s="11">
        <f t="shared" si="1"/>
        <v>1</v>
      </c>
      <c r="F18" s="11">
        <f t="shared" si="2"/>
        <v>658000000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658</v>
      </c>
      <c r="E19" s="11">
        <f t="shared" si="1"/>
        <v>1</v>
      </c>
      <c r="F19" s="11">
        <f t="shared" si="2"/>
        <v>1971000000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658</v>
      </c>
      <c r="E20" s="11">
        <f t="shared" si="1"/>
        <v>0</v>
      </c>
      <c r="F20" s="11">
        <f t="shared" si="2"/>
        <v>-284716600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658</v>
      </c>
      <c r="E21" s="11">
        <f t="shared" si="1"/>
        <v>0</v>
      </c>
      <c r="F21" s="11">
        <f t="shared" si="2"/>
        <v>-284716600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658</v>
      </c>
      <c r="E22" s="11">
        <f t="shared" si="1"/>
        <v>0</v>
      </c>
      <c r="F22" s="11">
        <f t="shared" si="2"/>
        <v>-284716600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658</v>
      </c>
      <c r="E23" s="11">
        <f t="shared" si="1"/>
        <v>0</v>
      </c>
      <c r="F23" s="11">
        <f t="shared" si="2"/>
        <v>-284716600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658</v>
      </c>
      <c r="E24" s="11">
        <f t="shared" si="1"/>
        <v>0</v>
      </c>
      <c r="F24" s="11">
        <f t="shared" si="2"/>
        <v>-284716600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658</v>
      </c>
      <c r="E25" s="11">
        <f t="shared" si="1"/>
        <v>0</v>
      </c>
      <c r="F25" s="11">
        <f t="shared" si="2"/>
        <v>-131600000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657</v>
      </c>
      <c r="E26" s="11">
        <f t="shared" si="1"/>
        <v>1</v>
      </c>
      <c r="F26" s="11">
        <f t="shared" si="2"/>
        <v>1968000000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655</v>
      </c>
      <c r="E27" s="11">
        <f t="shared" si="1"/>
        <v>0</v>
      </c>
      <c r="F27" s="11">
        <f t="shared" si="2"/>
        <v>-131000000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654</v>
      </c>
      <c r="E28" s="11">
        <f t="shared" si="1"/>
        <v>1</v>
      </c>
      <c r="F28" s="11">
        <f t="shared" si="2"/>
        <v>1306000000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653</v>
      </c>
      <c r="E29" s="11">
        <f t="shared" si="1"/>
        <v>0</v>
      </c>
      <c r="F29" s="11">
        <f t="shared" si="2"/>
        <v>-4571522400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652</v>
      </c>
      <c r="E30" s="11">
        <f t="shared" si="1"/>
        <v>0</v>
      </c>
      <c r="F30" s="11">
        <f t="shared" si="2"/>
        <v>-1956586800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651</v>
      </c>
      <c r="E31" s="11">
        <f t="shared" si="1"/>
        <v>0</v>
      </c>
      <c r="F31" s="11">
        <f t="shared" si="2"/>
        <v>-1104030900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648</v>
      </c>
      <c r="E32" s="11">
        <f t="shared" si="1"/>
        <v>1</v>
      </c>
      <c r="F32" s="11">
        <f t="shared" si="2"/>
        <v>643312100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642</v>
      </c>
      <c r="E33" s="11">
        <f t="shared" si="1"/>
        <v>1</v>
      </c>
      <c r="F33" s="11">
        <f t="shared" si="2"/>
        <v>22493331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641</v>
      </c>
      <c r="E34" s="11">
        <f t="shared" si="1"/>
        <v>0</v>
      </c>
      <c r="F34" s="11">
        <f t="shared" si="2"/>
        <v>-544850000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633</v>
      </c>
      <c r="E35" s="11">
        <f t="shared" si="1"/>
        <v>0</v>
      </c>
      <c r="F35" s="11">
        <f t="shared" si="2"/>
        <v>-120586500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632</v>
      </c>
      <c r="E36" s="11">
        <f t="shared" si="1"/>
        <v>1</v>
      </c>
      <c r="F36" s="11">
        <f t="shared" si="2"/>
        <v>126200000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632</v>
      </c>
      <c r="E37" s="11">
        <f t="shared" si="1"/>
        <v>0</v>
      </c>
      <c r="F37" s="11">
        <f t="shared" si="2"/>
        <v>-126400000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610</v>
      </c>
      <c r="E38" s="11">
        <f t="shared" si="1"/>
        <v>1</v>
      </c>
      <c r="F38" s="11">
        <f t="shared" si="2"/>
        <v>183190854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609</v>
      </c>
      <c r="E39" s="11">
        <f t="shared" si="1"/>
        <v>0</v>
      </c>
      <c r="F39" s="11">
        <f t="shared" si="2"/>
        <v>-57855000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609</v>
      </c>
      <c r="E40" s="11">
        <f t="shared" si="1"/>
        <v>0</v>
      </c>
      <c r="F40" s="11">
        <f t="shared" si="2"/>
        <v>-53654727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604</v>
      </c>
      <c r="E41" s="11">
        <f t="shared" si="1"/>
        <v>0</v>
      </c>
      <c r="F41" s="11">
        <f t="shared" si="2"/>
        <v>-72480000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582</v>
      </c>
      <c r="E42" s="11">
        <f t="shared" si="1"/>
        <v>1</v>
      </c>
      <c r="F42" s="11">
        <f t="shared" si="2"/>
        <v>581118524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578</v>
      </c>
      <c r="E43" s="11">
        <f t="shared" si="1"/>
        <v>0</v>
      </c>
      <c r="F43" s="11">
        <f t="shared" si="2"/>
        <v>-46240000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574</v>
      </c>
      <c r="E44" s="11">
        <f t="shared" si="1"/>
        <v>0</v>
      </c>
      <c r="F44" s="11">
        <f t="shared" si="2"/>
        <v>-121130646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573</v>
      </c>
      <c r="E45" s="11">
        <f t="shared" si="1"/>
        <v>0</v>
      </c>
      <c r="F45" s="11">
        <f t="shared" si="2"/>
        <v>-114600000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572</v>
      </c>
      <c r="E46" s="11">
        <f t="shared" si="1"/>
        <v>0</v>
      </c>
      <c r="F46" s="11">
        <f t="shared" si="2"/>
        <v>-54340000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570</v>
      </c>
      <c r="E47" s="11">
        <f t="shared" si="1"/>
        <v>0</v>
      </c>
      <c r="F47" s="11">
        <f t="shared" si="2"/>
        <v>-25650000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570</v>
      </c>
      <c r="E48" s="11">
        <f t="shared" si="1"/>
        <v>0</v>
      </c>
      <c r="F48" s="11">
        <f t="shared" si="2"/>
        <v>-36582600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567</v>
      </c>
      <c r="E49" s="11">
        <f t="shared" si="1"/>
        <v>0</v>
      </c>
      <c r="F49" s="11">
        <f t="shared" si="2"/>
        <v>-15583428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566</v>
      </c>
      <c r="E50" s="11">
        <f t="shared" si="1"/>
        <v>0</v>
      </c>
      <c r="F50" s="11">
        <f t="shared" si="2"/>
        <v>-79806000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566</v>
      </c>
      <c r="E51" s="11">
        <f t="shared" si="1"/>
        <v>0</v>
      </c>
      <c r="F51" s="11">
        <f t="shared" si="2"/>
        <v>-15138236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565</v>
      </c>
      <c r="E52" s="11">
        <f t="shared" si="1"/>
        <v>0</v>
      </c>
      <c r="F52" s="11">
        <f t="shared" si="2"/>
        <v>-30114500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564</v>
      </c>
      <c r="E53" s="11">
        <f t="shared" si="1"/>
        <v>1</v>
      </c>
      <c r="F53" s="11">
        <f t="shared" si="2"/>
        <v>563000000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558</v>
      </c>
      <c r="E54" s="11">
        <f t="shared" si="1"/>
        <v>0</v>
      </c>
      <c r="F54" s="11">
        <f t="shared" si="2"/>
        <v>-11718000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557</v>
      </c>
      <c r="E55" s="11">
        <f t="shared" si="1"/>
        <v>0</v>
      </c>
      <c r="F55" s="11">
        <f t="shared" si="2"/>
        <v>-546138500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557</v>
      </c>
      <c r="E56" s="11">
        <f t="shared" si="1"/>
        <v>0</v>
      </c>
      <c r="F56" s="11">
        <f t="shared" si="2"/>
        <v>-25065000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544</v>
      </c>
      <c r="E57" s="11">
        <f t="shared" si="1"/>
        <v>1</v>
      </c>
      <c r="F57" s="11">
        <f t="shared" si="2"/>
        <v>1631817627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544</v>
      </c>
      <c r="E58" s="11">
        <f t="shared" si="1"/>
        <v>1</v>
      </c>
      <c r="F58" s="11">
        <f t="shared" si="2"/>
        <v>1086000000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543</v>
      </c>
      <c r="E59" s="11">
        <f t="shared" si="1"/>
        <v>1</v>
      </c>
      <c r="F59" s="11">
        <f t="shared" si="2"/>
        <v>1084000000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543</v>
      </c>
      <c r="E60" s="11">
        <f t="shared" si="1"/>
        <v>0</v>
      </c>
      <c r="F60" s="11">
        <f t="shared" si="2"/>
        <v>-3801814500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519</v>
      </c>
      <c r="E61" s="11">
        <f t="shared" si="1"/>
        <v>1</v>
      </c>
      <c r="F61" s="11">
        <f t="shared" si="2"/>
        <v>1554000000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518</v>
      </c>
      <c r="E62" s="11">
        <f t="shared" si="1"/>
        <v>0</v>
      </c>
      <c r="F62" s="11">
        <f t="shared" si="2"/>
        <v>-14042462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518</v>
      </c>
      <c r="E63" s="11">
        <f t="shared" si="1"/>
        <v>0</v>
      </c>
      <c r="F63" s="11">
        <f t="shared" si="2"/>
        <v>-17088302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518</v>
      </c>
      <c r="E64" s="11">
        <f t="shared" si="1"/>
        <v>1</v>
      </c>
      <c r="F64" s="11">
        <f t="shared" si="2"/>
        <v>1551000000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518</v>
      </c>
      <c r="E65" s="11">
        <f t="shared" si="1"/>
        <v>1</v>
      </c>
      <c r="F65" s="11">
        <f t="shared" si="2"/>
        <v>1535490000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518</v>
      </c>
      <c r="E66" s="11">
        <f t="shared" si="1"/>
        <v>1</v>
      </c>
      <c r="F66" s="11">
        <f t="shared" si="2"/>
        <v>517000000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518</v>
      </c>
      <c r="E67" s="11">
        <f t="shared" ref="E67:E130" si="4">IF(B67&gt;0,1,0)</f>
        <v>1</v>
      </c>
      <c r="F67" s="11">
        <f t="shared" ref="F67:F226" si="5">B67*(D67-E67)</f>
        <v>15510000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517</v>
      </c>
      <c r="E68" s="11">
        <f t="shared" si="4"/>
        <v>1</v>
      </c>
      <c r="F68" s="11">
        <f t="shared" si="5"/>
        <v>15480000000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516</v>
      </c>
      <c r="E69" s="11">
        <f t="shared" si="4"/>
        <v>0</v>
      </c>
      <c r="F69" s="11">
        <f t="shared" si="5"/>
        <v>-103200000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516</v>
      </c>
      <c r="E70" s="11">
        <f t="shared" si="4"/>
        <v>1</v>
      </c>
      <c r="F70" s="11">
        <f t="shared" si="5"/>
        <v>721000000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516</v>
      </c>
      <c r="E71" s="11">
        <f t="shared" si="4"/>
        <v>1</v>
      </c>
      <c r="F71" s="11">
        <f t="shared" si="5"/>
        <v>1339000000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516</v>
      </c>
      <c r="E72" s="11">
        <f t="shared" si="4"/>
        <v>0</v>
      </c>
      <c r="F72" s="11">
        <f t="shared" si="5"/>
        <v>-516000000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514</v>
      </c>
      <c r="E73" s="11">
        <f t="shared" si="4"/>
        <v>1</v>
      </c>
      <c r="F73" s="11">
        <f t="shared" si="5"/>
        <v>7695000000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509</v>
      </c>
      <c r="E74" s="11">
        <f t="shared" si="4"/>
        <v>0</v>
      </c>
      <c r="F74" s="11">
        <f t="shared" si="5"/>
        <v>-7637137800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507</v>
      </c>
      <c r="E75" s="11">
        <f t="shared" si="4"/>
        <v>0</v>
      </c>
      <c r="F75" s="11">
        <f t="shared" si="5"/>
        <v>-1521000000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507</v>
      </c>
      <c r="E76" s="11">
        <f t="shared" si="4"/>
        <v>0</v>
      </c>
      <c r="F76" s="11">
        <f t="shared" si="5"/>
        <v>-101400000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507</v>
      </c>
      <c r="E77" s="11">
        <f t="shared" si="4"/>
        <v>0</v>
      </c>
      <c r="F77" s="11">
        <f t="shared" si="5"/>
        <v>-6085521000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503</v>
      </c>
      <c r="E78" s="11">
        <f t="shared" si="4"/>
        <v>0</v>
      </c>
      <c r="F78" s="11">
        <f t="shared" si="5"/>
        <v>-1509452700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498</v>
      </c>
      <c r="E79" s="11">
        <f t="shared" si="4"/>
        <v>1</v>
      </c>
      <c r="F79" s="11">
        <f t="shared" si="5"/>
        <v>11431000000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493</v>
      </c>
      <c r="E80" s="11">
        <f t="shared" si="4"/>
        <v>0</v>
      </c>
      <c r="F80" s="11">
        <f t="shared" si="5"/>
        <v>-296046500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493</v>
      </c>
      <c r="E81" s="11">
        <f t="shared" si="4"/>
        <v>0</v>
      </c>
      <c r="F81" s="11">
        <f t="shared" si="5"/>
        <v>-98600000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492</v>
      </c>
      <c r="E82" s="11">
        <f t="shared" si="4"/>
        <v>1</v>
      </c>
      <c r="F82" s="11">
        <f t="shared" si="5"/>
        <v>139061511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492</v>
      </c>
      <c r="E83" s="11">
        <f t="shared" si="4"/>
        <v>0</v>
      </c>
      <c r="F83" s="11">
        <f t="shared" si="5"/>
        <v>-98400000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490</v>
      </c>
      <c r="E84" s="11">
        <f t="shared" si="4"/>
        <v>1</v>
      </c>
      <c r="F84" s="11">
        <f t="shared" si="5"/>
        <v>978000000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487</v>
      </c>
      <c r="E85" s="11">
        <f t="shared" si="4"/>
        <v>0</v>
      </c>
      <c r="F85" s="11">
        <f t="shared" si="5"/>
        <v>-97400000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481</v>
      </c>
      <c r="E86" s="11">
        <f t="shared" si="4"/>
        <v>0</v>
      </c>
      <c r="F86" s="11">
        <f t="shared" si="5"/>
        <v>-96200000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479</v>
      </c>
      <c r="E87" s="11">
        <f t="shared" si="4"/>
        <v>0</v>
      </c>
      <c r="F87" s="11">
        <f t="shared" si="5"/>
        <v>-634675000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464</v>
      </c>
      <c r="E88" s="11">
        <f t="shared" si="4"/>
        <v>0</v>
      </c>
      <c r="F88" s="11">
        <f t="shared" si="5"/>
        <v>-232000000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464</v>
      </c>
      <c r="E89" s="11">
        <f t="shared" si="4"/>
        <v>0</v>
      </c>
      <c r="F89" s="11">
        <f t="shared" si="5"/>
        <v>-55680000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462</v>
      </c>
      <c r="E90" s="11">
        <f t="shared" si="4"/>
        <v>1</v>
      </c>
      <c r="F90" s="11">
        <f t="shared" si="5"/>
        <v>197402505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459</v>
      </c>
      <c r="E91" s="11">
        <f t="shared" si="4"/>
        <v>0</v>
      </c>
      <c r="F91" s="11">
        <f t="shared" si="5"/>
        <v>-1377918000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457</v>
      </c>
      <c r="E92" s="11">
        <f t="shared" si="4"/>
        <v>0</v>
      </c>
      <c r="F92" s="11">
        <f t="shared" si="5"/>
        <v>-93685000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457</v>
      </c>
      <c r="E93" s="11">
        <f t="shared" si="4"/>
        <v>0</v>
      </c>
      <c r="F93" s="11">
        <f t="shared" si="5"/>
        <v>-160178500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446</v>
      </c>
      <c r="E94" s="11">
        <f t="shared" si="4"/>
        <v>1</v>
      </c>
      <c r="F94" s="11">
        <f t="shared" si="5"/>
        <v>445000000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441</v>
      </c>
      <c r="E95" s="11">
        <f t="shared" si="4"/>
        <v>1</v>
      </c>
      <c r="F95" s="11">
        <f t="shared" si="5"/>
        <v>3960000000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439</v>
      </c>
      <c r="E96" s="11">
        <f t="shared" si="4"/>
        <v>0</v>
      </c>
      <c r="F96" s="11">
        <f t="shared" si="5"/>
        <v>-11414000000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439</v>
      </c>
      <c r="E97" s="11">
        <f t="shared" si="4"/>
        <v>0</v>
      </c>
      <c r="F97" s="11">
        <f t="shared" si="5"/>
        <v>-11414000000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439</v>
      </c>
      <c r="E98" s="11">
        <f t="shared" si="4"/>
        <v>1</v>
      </c>
      <c r="F98" s="11">
        <f t="shared" si="5"/>
        <v>11388000000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439</v>
      </c>
      <c r="E99" s="11">
        <f t="shared" si="4"/>
        <v>0</v>
      </c>
      <c r="F99" s="11">
        <f t="shared" si="5"/>
        <v>-87800000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437</v>
      </c>
      <c r="E100" s="11">
        <f t="shared" si="4"/>
        <v>1</v>
      </c>
      <c r="F100" s="11">
        <f t="shared" si="5"/>
        <v>12731200000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432</v>
      </c>
      <c r="E101" s="11">
        <f t="shared" si="4"/>
        <v>1</v>
      </c>
      <c r="F101" s="11">
        <f t="shared" si="5"/>
        <v>172376295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431</v>
      </c>
      <c r="E102" s="11">
        <f t="shared" si="4"/>
        <v>1</v>
      </c>
      <c r="F102" s="11">
        <f t="shared" si="5"/>
        <v>860000000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430</v>
      </c>
      <c r="E103" s="11">
        <f t="shared" si="4"/>
        <v>1</v>
      </c>
      <c r="F103" s="11">
        <f t="shared" si="5"/>
        <v>3217500000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430</v>
      </c>
      <c r="E104" s="11">
        <f t="shared" si="4"/>
        <v>0</v>
      </c>
      <c r="F104" s="11">
        <f t="shared" si="5"/>
        <v>-28380000000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430</v>
      </c>
      <c r="E105" s="11">
        <f t="shared" si="4"/>
        <v>0</v>
      </c>
      <c r="F105" s="11">
        <f t="shared" si="5"/>
        <v>-62350000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428</v>
      </c>
      <c r="E106" s="11">
        <f t="shared" si="4"/>
        <v>1</v>
      </c>
      <c r="F106" s="11">
        <f t="shared" si="5"/>
        <v>2562000000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426</v>
      </c>
      <c r="E107" s="11">
        <f t="shared" si="4"/>
        <v>0</v>
      </c>
      <c r="F107" s="11">
        <f t="shared" si="5"/>
        <v>-2558513400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423</v>
      </c>
      <c r="E108" s="11">
        <f t="shared" si="4"/>
        <v>1</v>
      </c>
      <c r="F108" s="11">
        <f t="shared" si="5"/>
        <v>2532000000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411</v>
      </c>
      <c r="E109" s="11">
        <f t="shared" si="4"/>
        <v>0</v>
      </c>
      <c r="F109" s="11">
        <f t="shared" si="5"/>
        <v>-49320000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410</v>
      </c>
      <c r="E110" s="11">
        <f t="shared" si="4"/>
        <v>1</v>
      </c>
      <c r="F110" s="11">
        <f t="shared" si="5"/>
        <v>1636000000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409</v>
      </c>
      <c r="E111" s="11">
        <f t="shared" si="4"/>
        <v>1</v>
      </c>
      <c r="F111" s="11">
        <f t="shared" si="5"/>
        <v>1142400000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405</v>
      </c>
      <c r="E112" s="11">
        <f t="shared" si="4"/>
        <v>0</v>
      </c>
      <c r="F112" s="11">
        <f t="shared" si="5"/>
        <v>-81000000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404</v>
      </c>
      <c r="E113" s="11">
        <f t="shared" si="4"/>
        <v>1</v>
      </c>
      <c r="F113" s="11">
        <f t="shared" si="5"/>
        <v>29140930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387</v>
      </c>
      <c r="E114" s="11">
        <f t="shared" si="4"/>
        <v>0</v>
      </c>
      <c r="F114" s="11">
        <f t="shared" si="5"/>
        <v>-77400000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386</v>
      </c>
      <c r="E115" s="11">
        <f t="shared" si="4"/>
        <v>0</v>
      </c>
      <c r="F115" s="23">
        <f t="shared" si="5"/>
        <v>-4246000000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386</v>
      </c>
      <c r="E116" s="11">
        <f t="shared" si="4"/>
        <v>0</v>
      </c>
      <c r="F116" s="11">
        <f t="shared" si="5"/>
        <v>-77200000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384</v>
      </c>
      <c r="E117" s="11">
        <f t="shared" si="4"/>
        <v>0</v>
      </c>
      <c r="F117" s="11">
        <f t="shared" si="5"/>
        <v>-172992000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384</v>
      </c>
      <c r="E118" s="11">
        <f t="shared" si="4"/>
        <v>0</v>
      </c>
      <c r="F118" s="11">
        <f t="shared" si="5"/>
        <v>-76800000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378</v>
      </c>
      <c r="E119" s="11">
        <f t="shared" si="4"/>
        <v>0</v>
      </c>
      <c r="F119" s="11">
        <f t="shared" si="5"/>
        <v>-58419900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378</v>
      </c>
      <c r="E120" s="11">
        <f t="shared" si="4"/>
        <v>0</v>
      </c>
      <c r="F120" s="11">
        <f t="shared" si="5"/>
        <v>-120960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377</v>
      </c>
      <c r="E121" s="11">
        <f t="shared" si="4"/>
        <v>0</v>
      </c>
      <c r="F121" s="11">
        <f t="shared" si="5"/>
        <v>-162864000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371</v>
      </c>
      <c r="E122" s="11">
        <f t="shared" si="4"/>
        <v>1</v>
      </c>
      <c r="F122" s="11">
        <f t="shared" si="5"/>
        <v>27395910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350</v>
      </c>
      <c r="E123" s="11">
        <f t="shared" si="4"/>
        <v>0</v>
      </c>
      <c r="F123" s="11">
        <f t="shared" si="5"/>
        <v>-18200000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309</v>
      </c>
      <c r="E124" s="11">
        <f t="shared" si="4"/>
        <v>1</v>
      </c>
      <c r="F124" s="11">
        <f t="shared" si="5"/>
        <v>365596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308</v>
      </c>
      <c r="E125" s="11">
        <f t="shared" si="4"/>
        <v>1</v>
      </c>
      <c r="F125" s="11">
        <f t="shared" si="5"/>
        <v>736800000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306</v>
      </c>
      <c r="E126" s="11">
        <f t="shared" si="4"/>
        <v>1</v>
      </c>
      <c r="F126" s="11">
        <f t="shared" si="5"/>
        <v>409554000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306</v>
      </c>
      <c r="E127" s="11">
        <f t="shared" si="4"/>
        <v>1</v>
      </c>
      <c r="F127" s="11">
        <f t="shared" si="5"/>
        <v>409554000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294</v>
      </c>
      <c r="E128" s="11">
        <f t="shared" si="4"/>
        <v>0</v>
      </c>
      <c r="F128" s="11">
        <f t="shared" si="5"/>
        <v>-58800000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292</v>
      </c>
      <c r="E129" s="11">
        <f t="shared" si="4"/>
        <v>0</v>
      </c>
      <c r="F129" s="11">
        <f>B129*(D129-E129)</f>
        <v>-4560456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291</v>
      </c>
      <c r="E130" s="11">
        <f t="shared" si="4"/>
        <v>0</v>
      </c>
      <c r="F130" s="11">
        <f t="shared" si="5"/>
        <v>-58200000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290</v>
      </c>
      <c r="E131" s="11">
        <f t="shared" ref="E131:E227" si="7">IF(B131&gt;0,1,0)</f>
        <v>0</v>
      </c>
      <c r="F131" s="11">
        <f t="shared" si="5"/>
        <v>-58000000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289</v>
      </c>
      <c r="E132" s="11">
        <f t="shared" si="7"/>
        <v>0</v>
      </c>
      <c r="F132" s="11">
        <f t="shared" si="5"/>
        <v>-112710000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289</v>
      </c>
      <c r="E133" s="11">
        <f t="shared" si="7"/>
        <v>0</v>
      </c>
      <c r="F133" s="11">
        <f t="shared" si="5"/>
        <v>-7080500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288</v>
      </c>
      <c r="E134" s="11">
        <f t="shared" si="7"/>
        <v>0</v>
      </c>
      <c r="F134" s="11">
        <f t="shared" si="5"/>
        <v>-27360000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284</v>
      </c>
      <c r="E135" s="11">
        <f t="shared" si="7"/>
        <v>0</v>
      </c>
      <c r="F135" s="11">
        <f t="shared" si="5"/>
        <v>-56800000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282</v>
      </c>
      <c r="E136" s="11">
        <f t="shared" si="7"/>
        <v>1</v>
      </c>
      <c r="F136" s="11">
        <f t="shared" si="5"/>
        <v>14050000000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281</v>
      </c>
      <c r="E137" s="11">
        <f t="shared" si="7"/>
        <v>1</v>
      </c>
      <c r="F137" s="11">
        <f t="shared" si="5"/>
        <v>3360000000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279</v>
      </c>
      <c r="E138" s="11">
        <f t="shared" si="7"/>
        <v>1</v>
      </c>
      <c r="F138" s="11">
        <f t="shared" si="5"/>
        <v>556000000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278</v>
      </c>
      <c r="E139" s="11">
        <f t="shared" si="7"/>
        <v>1</v>
      </c>
      <c r="F139" s="11">
        <f t="shared" si="5"/>
        <v>24248026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265</v>
      </c>
      <c r="E140" s="11">
        <f t="shared" si="7"/>
        <v>0</v>
      </c>
      <c r="F140" s="11">
        <f t="shared" si="5"/>
        <v>-795238500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264</v>
      </c>
      <c r="E141" s="11">
        <f t="shared" si="7"/>
        <v>0</v>
      </c>
      <c r="F141" s="11">
        <f t="shared" si="5"/>
        <v>-792237600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247</v>
      </c>
      <c r="E142" s="11">
        <f t="shared" si="7"/>
        <v>1</v>
      </c>
      <c r="F142" s="11">
        <f t="shared" si="5"/>
        <v>148098150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247</v>
      </c>
      <c r="E143" s="11">
        <f t="shared" si="7"/>
        <v>0</v>
      </c>
      <c r="F143" s="11">
        <f t="shared" si="5"/>
        <v>-11362000000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216</v>
      </c>
      <c r="E144" s="11">
        <f t="shared" si="7"/>
        <v>1</v>
      </c>
      <c r="F144" s="11">
        <f t="shared" si="5"/>
        <v>33133005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215</v>
      </c>
      <c r="E145" s="11">
        <f t="shared" si="7"/>
        <v>1</v>
      </c>
      <c r="F145" s="11">
        <f t="shared" si="5"/>
        <v>642000000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212</v>
      </c>
      <c r="E146" s="11">
        <f t="shared" si="7"/>
        <v>0</v>
      </c>
      <c r="F146" s="11">
        <f t="shared" si="5"/>
        <v>-42400000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207</v>
      </c>
      <c r="E147" s="11">
        <f t="shared" si="7"/>
        <v>0</v>
      </c>
      <c r="F147" s="11">
        <f t="shared" si="5"/>
        <v>-41400000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206</v>
      </c>
      <c r="E148" s="11">
        <f t="shared" si="7"/>
        <v>0</v>
      </c>
      <c r="F148" s="11">
        <f t="shared" si="5"/>
        <v>-41200000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202</v>
      </c>
      <c r="E149" s="11">
        <f t="shared" si="7"/>
        <v>0</v>
      </c>
      <c r="F149" s="11">
        <f t="shared" si="5"/>
        <v>-40400000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201</v>
      </c>
      <c r="E150" s="11">
        <f t="shared" si="7"/>
        <v>1</v>
      </c>
      <c r="F150" s="11">
        <f t="shared" si="5"/>
        <v>4814680000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199</v>
      </c>
      <c r="E151" s="11">
        <f t="shared" si="7"/>
        <v>0</v>
      </c>
      <c r="F151" s="11">
        <f t="shared" si="5"/>
        <v>-39800000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193</v>
      </c>
      <c r="E152" s="11">
        <f t="shared" si="7"/>
        <v>0</v>
      </c>
      <c r="F152" s="11">
        <f t="shared" si="5"/>
        <v>-5790000000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192</v>
      </c>
      <c r="E153" s="11">
        <f t="shared" si="7"/>
        <v>0</v>
      </c>
      <c r="F153" s="11">
        <f t="shared" si="5"/>
        <v>-9984000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192</v>
      </c>
      <c r="E154" s="11">
        <f t="shared" si="7"/>
        <v>0</v>
      </c>
      <c r="F154" s="11">
        <f t="shared" si="5"/>
        <v>-26112000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187</v>
      </c>
      <c r="E155" s="11">
        <f t="shared" si="7"/>
        <v>1</v>
      </c>
      <c r="F155" s="11">
        <f t="shared" si="5"/>
        <v>558000000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186</v>
      </c>
      <c r="E156" s="11">
        <f t="shared" si="7"/>
        <v>1</v>
      </c>
      <c r="F156" s="11">
        <f t="shared" si="5"/>
        <v>34984055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186</v>
      </c>
      <c r="E157" s="11">
        <f t="shared" si="7"/>
        <v>1</v>
      </c>
      <c r="F157" s="11">
        <f t="shared" si="5"/>
        <v>4482124500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178</v>
      </c>
      <c r="E158" s="11">
        <f t="shared" si="7"/>
        <v>1</v>
      </c>
      <c r="F158" s="11">
        <f t="shared" si="5"/>
        <v>4300250400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178</v>
      </c>
      <c r="E159" s="11">
        <f t="shared" si="7"/>
        <v>0</v>
      </c>
      <c r="F159" s="11">
        <f t="shared" si="5"/>
        <v>-35778000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173</v>
      </c>
      <c r="E160" s="11">
        <f t="shared" si="7"/>
        <v>0</v>
      </c>
      <c r="F160" s="11">
        <f t="shared" si="5"/>
        <v>-34600000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170</v>
      </c>
      <c r="E161" s="11">
        <f t="shared" si="7"/>
        <v>0</v>
      </c>
      <c r="F161" s="11">
        <f t="shared" si="5"/>
        <v>-34000000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166</v>
      </c>
      <c r="E162" s="11">
        <f t="shared" si="7"/>
        <v>0</v>
      </c>
      <c r="F162" s="11">
        <f t="shared" si="5"/>
        <v>-33200000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163</v>
      </c>
      <c r="E163" s="11">
        <f t="shared" si="7"/>
        <v>0</v>
      </c>
      <c r="F163" s="11">
        <f t="shared" si="5"/>
        <v>-32600000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156</v>
      </c>
      <c r="E164" s="11">
        <f t="shared" si="7"/>
        <v>1</v>
      </c>
      <c r="F164" s="11">
        <f t="shared" si="5"/>
        <v>70939470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153</v>
      </c>
      <c r="E165" s="11">
        <f t="shared" si="7"/>
        <v>1</v>
      </c>
      <c r="F165" s="11">
        <f t="shared" si="5"/>
        <v>410400000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153</v>
      </c>
      <c r="E166" s="11">
        <f t="shared" si="7"/>
        <v>1</v>
      </c>
      <c r="F166" s="11">
        <f t="shared" si="5"/>
        <v>380000000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146</v>
      </c>
      <c r="E167" s="11">
        <f t="shared" si="7"/>
        <v>0</v>
      </c>
      <c r="F167" s="11">
        <f t="shared" si="5"/>
        <v>-29200000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144</v>
      </c>
      <c r="E168" s="11">
        <f t="shared" si="7"/>
        <v>0</v>
      </c>
      <c r="F168" s="11">
        <f t="shared" si="5"/>
        <v>-28800000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138</v>
      </c>
      <c r="E169" s="11">
        <f t="shared" si="7"/>
        <v>0</v>
      </c>
      <c r="F169" s="11">
        <f t="shared" si="5"/>
        <v>-27600000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135</v>
      </c>
      <c r="E170" s="11">
        <f t="shared" si="7"/>
        <v>0</v>
      </c>
      <c r="F170" s="11">
        <f t="shared" si="5"/>
        <v>-27000000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135</v>
      </c>
      <c r="E171" s="11">
        <f t="shared" si="7"/>
        <v>1</v>
      </c>
      <c r="F171" s="11">
        <f t="shared" si="5"/>
        <v>402000000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132</v>
      </c>
      <c r="E172" s="11">
        <f t="shared" si="7"/>
        <v>0</v>
      </c>
      <c r="F172" s="11">
        <f t="shared" si="5"/>
        <v>-26400000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131</v>
      </c>
      <c r="E173" s="11">
        <f t="shared" si="7"/>
        <v>1</v>
      </c>
      <c r="F173" s="11">
        <f t="shared" si="5"/>
        <v>390000000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130</v>
      </c>
      <c r="E174" s="11">
        <f t="shared" si="7"/>
        <v>1</v>
      </c>
      <c r="F174" s="11">
        <f t="shared" si="5"/>
        <v>258000000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129</v>
      </c>
      <c r="E175" s="11">
        <f t="shared" si="7"/>
        <v>1</v>
      </c>
      <c r="F175" s="11">
        <f t="shared" si="5"/>
        <v>166400000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127</v>
      </c>
      <c r="E176" s="11">
        <f t="shared" si="7"/>
        <v>0</v>
      </c>
      <c r="F176" s="11">
        <f t="shared" si="5"/>
        <v>-25400000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127</v>
      </c>
      <c r="E177" s="11">
        <f t="shared" si="7"/>
        <v>1</v>
      </c>
      <c r="F177" s="11">
        <f t="shared" si="5"/>
        <v>214200000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126</v>
      </c>
      <c r="E178" s="11">
        <f t="shared" si="7"/>
        <v>0</v>
      </c>
      <c r="F178" s="11">
        <f t="shared" si="5"/>
        <v>-25200000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125</v>
      </c>
      <c r="E179" s="11">
        <f t="shared" si="7"/>
        <v>1</v>
      </c>
      <c r="F179" s="11">
        <f t="shared" si="5"/>
        <v>70865008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122</v>
      </c>
      <c r="E180" s="11">
        <f t="shared" si="7"/>
        <v>1</v>
      </c>
      <c r="F180" s="11">
        <f t="shared" si="5"/>
        <v>363000000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115</v>
      </c>
      <c r="E181" s="11">
        <f t="shared" si="7"/>
        <v>1</v>
      </c>
      <c r="F181" s="11">
        <f t="shared" si="5"/>
        <v>228000000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107</v>
      </c>
      <c r="E182" s="11">
        <f t="shared" si="7"/>
        <v>0</v>
      </c>
      <c r="F182" s="11">
        <f t="shared" si="5"/>
        <v>-235474900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95</v>
      </c>
      <c r="E183" s="11">
        <f t="shared" si="7"/>
        <v>1</v>
      </c>
      <c r="F183" s="11">
        <f t="shared" si="5"/>
        <v>63458178</v>
      </c>
      <c r="G183" s="11" t="s">
        <v>264</v>
      </c>
    </row>
    <row r="184" spans="1:7">
      <c r="A184" s="11" t="s">
        <v>891</v>
      </c>
      <c r="B184" s="3">
        <v>677000</v>
      </c>
      <c r="C184" s="11">
        <v>15</v>
      </c>
      <c r="D184" s="11">
        <f>D185+C184</f>
        <v>65</v>
      </c>
      <c r="E184" s="11">
        <f t="shared" si="7"/>
        <v>1</v>
      </c>
      <c r="F184" s="11">
        <f t="shared" si="5"/>
        <v>43328000</v>
      </c>
      <c r="G184" s="11" t="s">
        <v>400</v>
      </c>
    </row>
    <row r="185" spans="1:7">
      <c r="A185" s="11" t="s">
        <v>916</v>
      </c>
      <c r="B185" s="3">
        <v>-10000</v>
      </c>
      <c r="C185" s="11">
        <v>5</v>
      </c>
      <c r="D185" s="11">
        <f t="shared" si="6"/>
        <v>50</v>
      </c>
      <c r="E185" s="11">
        <f t="shared" si="7"/>
        <v>0</v>
      </c>
      <c r="F185" s="11">
        <f t="shared" si="5"/>
        <v>-500000</v>
      </c>
      <c r="G185" s="11" t="s">
        <v>922</v>
      </c>
    </row>
    <row r="186" spans="1:7">
      <c r="A186" s="11" t="s">
        <v>933</v>
      </c>
      <c r="B186" s="3">
        <v>-80500000</v>
      </c>
      <c r="C186" s="11">
        <v>5</v>
      </c>
      <c r="D186" s="11">
        <f t="shared" ref="D186:D227" si="8">D187+C186</f>
        <v>45</v>
      </c>
      <c r="E186" s="11">
        <f t="shared" si="7"/>
        <v>0</v>
      </c>
      <c r="F186" s="11">
        <f t="shared" si="5"/>
        <v>-3622500000</v>
      </c>
      <c r="G186" s="11" t="s">
        <v>1034</v>
      </c>
    </row>
    <row r="187" spans="1:7">
      <c r="A187" s="11" t="s">
        <v>1033</v>
      </c>
      <c r="B187" s="3">
        <v>-1100000</v>
      </c>
      <c r="C187" s="11">
        <v>0</v>
      </c>
      <c r="D187" s="11">
        <f t="shared" si="8"/>
        <v>40</v>
      </c>
      <c r="E187" s="11">
        <f t="shared" si="7"/>
        <v>0</v>
      </c>
      <c r="F187" s="11">
        <f t="shared" si="5"/>
        <v>-44000000</v>
      </c>
      <c r="G187" s="11" t="s">
        <v>1034</v>
      </c>
    </row>
    <row r="188" spans="1:7">
      <c r="A188" s="11" t="s">
        <v>1033</v>
      </c>
      <c r="B188" s="3">
        <v>3000000</v>
      </c>
      <c r="C188" s="11">
        <v>1</v>
      </c>
      <c r="D188" s="11">
        <f t="shared" si="8"/>
        <v>40</v>
      </c>
      <c r="E188" s="11">
        <f t="shared" si="7"/>
        <v>1</v>
      </c>
      <c r="F188" s="11">
        <f t="shared" si="5"/>
        <v>117000000</v>
      </c>
      <c r="G188" s="11" t="s">
        <v>1045</v>
      </c>
    </row>
    <row r="189" spans="1:7">
      <c r="A189" s="11" t="s">
        <v>1044</v>
      </c>
      <c r="B189" s="3">
        <v>2000000</v>
      </c>
      <c r="C189" s="11">
        <v>0</v>
      </c>
      <c r="D189" s="11">
        <f t="shared" si="8"/>
        <v>39</v>
      </c>
      <c r="E189" s="11">
        <f t="shared" si="7"/>
        <v>1</v>
      </c>
      <c r="F189" s="11">
        <f t="shared" si="5"/>
        <v>76000000</v>
      </c>
      <c r="G189" s="11" t="s">
        <v>1045</v>
      </c>
    </row>
    <row r="190" spans="1:7">
      <c r="A190" s="11" t="s">
        <v>1044</v>
      </c>
      <c r="B190" s="3">
        <v>-5000000</v>
      </c>
      <c r="C190" s="11">
        <v>1</v>
      </c>
      <c r="D190" s="11">
        <f t="shared" si="8"/>
        <v>39</v>
      </c>
      <c r="E190" s="11">
        <f t="shared" si="7"/>
        <v>0</v>
      </c>
      <c r="F190" s="11">
        <f t="shared" si="5"/>
        <v>-195000000</v>
      </c>
      <c r="G190" s="11" t="s">
        <v>1034</v>
      </c>
    </row>
    <row r="191" spans="1:7">
      <c r="A191" s="11" t="s">
        <v>1050</v>
      </c>
      <c r="B191" s="3">
        <v>483248</v>
      </c>
      <c r="C191" s="11">
        <v>4</v>
      </c>
      <c r="D191" s="11">
        <f t="shared" si="8"/>
        <v>38</v>
      </c>
      <c r="E191" s="11">
        <f t="shared" si="7"/>
        <v>1</v>
      </c>
      <c r="F191" s="11">
        <f t="shared" si="5"/>
        <v>17880176</v>
      </c>
      <c r="G191" s="11" t="s">
        <v>1052</v>
      </c>
    </row>
    <row r="192" spans="1:7">
      <c r="A192" s="11" t="s">
        <v>1078</v>
      </c>
      <c r="B192" s="3">
        <v>-115300</v>
      </c>
      <c r="C192" s="11">
        <v>4</v>
      </c>
      <c r="D192" s="11">
        <f t="shared" si="8"/>
        <v>34</v>
      </c>
      <c r="E192" s="11">
        <f t="shared" si="7"/>
        <v>0</v>
      </c>
      <c r="F192" s="11">
        <f t="shared" si="5"/>
        <v>-3920200</v>
      </c>
      <c r="G192" s="11" t="s">
        <v>1079</v>
      </c>
    </row>
    <row r="193" spans="1:7">
      <c r="A193" s="11" t="s">
        <v>1089</v>
      </c>
      <c r="B193" s="3">
        <v>90000000</v>
      </c>
      <c r="C193" s="11">
        <v>7</v>
      </c>
      <c r="D193" s="11">
        <f t="shared" si="8"/>
        <v>30</v>
      </c>
      <c r="E193" s="11">
        <f t="shared" si="7"/>
        <v>1</v>
      </c>
      <c r="F193" s="11">
        <f t="shared" si="5"/>
        <v>2610000000</v>
      </c>
      <c r="G193" s="11" t="s">
        <v>1090</v>
      </c>
    </row>
    <row r="194" spans="1:7">
      <c r="A194" s="11" t="s">
        <v>1108</v>
      </c>
      <c r="B194" s="3">
        <v>52000000</v>
      </c>
      <c r="C194" s="11">
        <v>0</v>
      </c>
      <c r="D194" s="11">
        <f t="shared" si="8"/>
        <v>23</v>
      </c>
      <c r="E194" s="11">
        <f t="shared" si="7"/>
        <v>1</v>
      </c>
      <c r="F194" s="11">
        <f t="shared" si="5"/>
        <v>1144000000</v>
      </c>
      <c r="G194" s="11" t="s">
        <v>1114</v>
      </c>
    </row>
    <row r="195" spans="1:7">
      <c r="A195" s="11" t="s">
        <v>1108</v>
      </c>
      <c r="B195" s="3">
        <v>25000000</v>
      </c>
      <c r="C195" s="11">
        <v>0</v>
      </c>
      <c r="D195" s="11">
        <f t="shared" si="8"/>
        <v>23</v>
      </c>
      <c r="E195" s="11">
        <f t="shared" si="7"/>
        <v>1</v>
      </c>
      <c r="F195" s="105">
        <f t="shared" si="5"/>
        <v>550000000</v>
      </c>
      <c r="G195" s="11" t="s">
        <v>1115</v>
      </c>
    </row>
    <row r="196" spans="1:7">
      <c r="A196" s="11" t="s">
        <v>1108</v>
      </c>
      <c r="B196" s="3">
        <v>-168000000</v>
      </c>
      <c r="C196" s="11">
        <v>7</v>
      </c>
      <c r="D196" s="105">
        <f t="shared" si="8"/>
        <v>23</v>
      </c>
      <c r="E196" s="105">
        <f t="shared" si="7"/>
        <v>0</v>
      </c>
      <c r="F196" s="105">
        <f t="shared" si="5"/>
        <v>-3864000000</v>
      </c>
      <c r="G196" s="11" t="s">
        <v>1116</v>
      </c>
    </row>
    <row r="197" spans="1:7">
      <c r="A197" s="11" t="s">
        <v>1184</v>
      </c>
      <c r="B197" s="3">
        <v>-165500</v>
      </c>
      <c r="C197" s="11">
        <v>4</v>
      </c>
      <c r="D197" s="105">
        <f t="shared" si="8"/>
        <v>16</v>
      </c>
      <c r="E197" s="105">
        <f t="shared" si="7"/>
        <v>0</v>
      </c>
      <c r="F197" s="105">
        <f t="shared" si="5"/>
        <v>-2648000</v>
      </c>
      <c r="G197" s="11" t="s">
        <v>1185</v>
      </c>
    </row>
    <row r="198" spans="1:7">
      <c r="A198" s="105" t="s">
        <v>1233</v>
      </c>
      <c r="B198" s="119">
        <v>-200000</v>
      </c>
      <c r="C198" s="105">
        <v>0</v>
      </c>
      <c r="D198" s="105">
        <f t="shared" si="8"/>
        <v>12</v>
      </c>
      <c r="E198" s="105">
        <f t="shared" si="7"/>
        <v>0</v>
      </c>
      <c r="F198" s="105">
        <f t="shared" si="5"/>
        <v>-2400000</v>
      </c>
      <c r="G198" s="105" t="s">
        <v>1234</v>
      </c>
    </row>
    <row r="199" spans="1:7">
      <c r="A199" s="105" t="s">
        <v>1233</v>
      </c>
      <c r="B199" s="119">
        <v>-46981</v>
      </c>
      <c r="C199" s="105">
        <v>3</v>
      </c>
      <c r="D199" s="105">
        <f t="shared" si="8"/>
        <v>12</v>
      </c>
      <c r="E199" s="105">
        <f t="shared" si="7"/>
        <v>0</v>
      </c>
      <c r="F199" s="105">
        <f t="shared" si="5"/>
        <v>-563772</v>
      </c>
      <c r="G199" s="105" t="s">
        <v>875</v>
      </c>
    </row>
    <row r="200" spans="1:7">
      <c r="A200" s="105" t="s">
        <v>1245</v>
      </c>
      <c r="B200" s="119">
        <v>-4650</v>
      </c>
      <c r="C200" s="105">
        <v>2</v>
      </c>
      <c r="D200" s="105">
        <f t="shared" si="8"/>
        <v>9</v>
      </c>
      <c r="E200" s="105">
        <f t="shared" si="7"/>
        <v>0</v>
      </c>
      <c r="F200" s="105">
        <f t="shared" si="5"/>
        <v>-41850</v>
      </c>
      <c r="G200" s="105" t="s">
        <v>875</v>
      </c>
    </row>
    <row r="201" spans="1:7">
      <c r="A201" s="105" t="s">
        <v>1257</v>
      </c>
      <c r="B201" s="119">
        <v>159828</v>
      </c>
      <c r="C201" s="105">
        <v>3</v>
      </c>
      <c r="D201" s="105">
        <f t="shared" si="8"/>
        <v>7</v>
      </c>
      <c r="E201" s="105">
        <f t="shared" si="7"/>
        <v>1</v>
      </c>
      <c r="F201" s="105">
        <f t="shared" si="5"/>
        <v>958968</v>
      </c>
      <c r="G201" s="105" t="s">
        <v>510</v>
      </c>
    </row>
    <row r="202" spans="1:7">
      <c r="A202" s="105" t="s">
        <v>1269</v>
      </c>
      <c r="B202" s="119">
        <v>-300500</v>
      </c>
      <c r="C202" s="105">
        <v>0</v>
      </c>
      <c r="D202" s="105">
        <f t="shared" si="8"/>
        <v>4</v>
      </c>
      <c r="E202" s="105">
        <f t="shared" si="7"/>
        <v>0</v>
      </c>
      <c r="F202" s="105">
        <f t="shared" si="5"/>
        <v>-1202000</v>
      </c>
      <c r="G202" s="105" t="s">
        <v>1273</v>
      </c>
    </row>
    <row r="203" spans="1:7">
      <c r="A203" s="105" t="s">
        <v>1269</v>
      </c>
      <c r="B203" s="119">
        <v>6000000</v>
      </c>
      <c r="C203" s="105">
        <v>2</v>
      </c>
      <c r="D203" s="105">
        <f t="shared" si="8"/>
        <v>4</v>
      </c>
      <c r="E203" s="105">
        <f t="shared" si="7"/>
        <v>1</v>
      </c>
      <c r="F203" s="105">
        <f t="shared" si="5"/>
        <v>18000000</v>
      </c>
      <c r="G203" s="105" t="s">
        <v>1274</v>
      </c>
    </row>
    <row r="204" spans="1:7">
      <c r="A204" s="105" t="s">
        <v>1283</v>
      </c>
      <c r="B204" s="119">
        <v>-685000</v>
      </c>
      <c r="C204" s="105">
        <v>1</v>
      </c>
      <c r="D204" s="105">
        <f t="shared" si="8"/>
        <v>2</v>
      </c>
      <c r="E204" s="105">
        <f t="shared" si="7"/>
        <v>0</v>
      </c>
      <c r="F204" s="105">
        <f t="shared" si="5"/>
        <v>-1370000</v>
      </c>
      <c r="G204" s="105" t="s">
        <v>1284</v>
      </c>
    </row>
    <row r="205" spans="1:7">
      <c r="A205" s="105" t="s">
        <v>1285</v>
      </c>
      <c r="B205" s="119">
        <v>-3000000</v>
      </c>
      <c r="C205" s="105">
        <v>1</v>
      </c>
      <c r="D205" s="105">
        <f t="shared" si="8"/>
        <v>1</v>
      </c>
      <c r="E205" s="105">
        <f t="shared" si="7"/>
        <v>0</v>
      </c>
      <c r="F205" s="105">
        <f t="shared" si="5"/>
        <v>-3000000</v>
      </c>
      <c r="G205" s="105" t="s">
        <v>724</v>
      </c>
    </row>
    <row r="206" spans="1:7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>
      <c r="A228" s="11"/>
      <c r="B228" s="29">
        <f>SUM(B2:B226)</f>
        <v>2741544</v>
      </c>
      <c r="C228" s="11"/>
      <c r="D228" s="11"/>
      <c r="E228" s="11"/>
      <c r="F228" s="29">
        <f>SUM(F2:F226)</f>
        <v>18776141380</v>
      </c>
      <c r="G228" s="11"/>
    </row>
    <row r="229" spans="1:7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>
      <c r="A230" s="11"/>
      <c r="B230" s="11"/>
      <c r="C230" s="11"/>
      <c r="D230" s="11"/>
      <c r="E230" s="11"/>
      <c r="F230" s="11"/>
      <c r="G230" s="11"/>
    </row>
    <row r="231" spans="1:7">
      <c r="A231" s="11"/>
      <c r="B231" s="11"/>
      <c r="C231" s="11"/>
      <c r="D231" s="11"/>
      <c r="E231" s="11"/>
      <c r="F231" s="3">
        <f>F228/D2</f>
        <v>27016030.762589928</v>
      </c>
      <c r="G231" s="11"/>
    </row>
    <row r="232" spans="1:7">
      <c r="A232" s="11"/>
      <c r="B232" s="11"/>
      <c r="C232" s="11"/>
      <c r="D232" s="11"/>
      <c r="E232" s="11"/>
      <c r="F232" s="11" t="s">
        <v>286</v>
      </c>
      <c r="G232" s="11"/>
    </row>
    <row r="237" spans="1:7">
      <c r="D237" t="s">
        <v>25</v>
      </c>
    </row>
    <row r="238" spans="1:7">
      <c r="B238" s="7"/>
    </row>
    <row r="240" spans="1:7" ht="7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1" activePane="bottomLeft" state="frozen"/>
      <selection pane="bottomLeft" activeCell="D122" sqref="D122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513</v>
      </c>
      <c r="F2" s="11">
        <f>IF(B2&gt;0,1,0)</f>
        <v>1</v>
      </c>
      <c r="G2" s="11">
        <f>B2*(E2-F2)</f>
        <v>25600000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509</v>
      </c>
      <c r="F3" s="11">
        <f t="shared" ref="F3:F38" si="1">IF(B3&gt;0,1,0)</f>
        <v>1</v>
      </c>
      <c r="G3" s="11">
        <f t="shared" ref="G3:G23" si="2">B3*(E3-F3)</f>
        <v>1524000000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508</v>
      </c>
      <c r="F4" s="11">
        <f t="shared" si="1"/>
        <v>1</v>
      </c>
      <c r="G4" s="11">
        <f t="shared" si="2"/>
        <v>1521000000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508</v>
      </c>
      <c r="F5" s="11">
        <f t="shared" si="1"/>
        <v>1</v>
      </c>
      <c r="G5" s="11">
        <f t="shared" si="2"/>
        <v>7605000000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507</v>
      </c>
      <c r="F6" s="11">
        <f t="shared" si="1"/>
        <v>1</v>
      </c>
      <c r="G6" s="11">
        <f t="shared" si="2"/>
        <v>1518000000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506</v>
      </c>
      <c r="F7" s="11">
        <f t="shared" si="1"/>
        <v>0</v>
      </c>
      <c r="G7" s="11">
        <f t="shared" si="2"/>
        <v>-1518000000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506</v>
      </c>
      <c r="F8" s="11">
        <f t="shared" si="1"/>
        <v>0</v>
      </c>
      <c r="G8" s="11">
        <f t="shared" si="2"/>
        <v>-101200000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506</v>
      </c>
      <c r="F9" s="11">
        <f t="shared" si="1"/>
        <v>1</v>
      </c>
      <c r="G9" s="11">
        <f>B9*(E9-F9)</f>
        <v>1515000000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505</v>
      </c>
      <c r="F10" s="11">
        <f t="shared" si="1"/>
        <v>1</v>
      </c>
      <c r="G10" s="11">
        <f t="shared" si="2"/>
        <v>1512000000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505</v>
      </c>
      <c r="F11" s="11">
        <f t="shared" si="1"/>
        <v>1</v>
      </c>
      <c r="G11" s="11">
        <f t="shared" si="2"/>
        <v>12600000000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502</v>
      </c>
      <c r="F12" s="11">
        <f t="shared" si="1"/>
        <v>1</v>
      </c>
      <c r="G12" s="11">
        <f t="shared" si="2"/>
        <v>500163330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502</v>
      </c>
      <c r="F13" s="11">
        <f t="shared" si="1"/>
        <v>1</v>
      </c>
      <c r="G13" s="11">
        <f t="shared" si="2"/>
        <v>1503000000</v>
      </c>
      <c r="K13" t="s">
        <v>1241</v>
      </c>
      <c r="L13" t="s">
        <v>1238</v>
      </c>
      <c r="N13" t="s">
        <v>1243</v>
      </c>
      <c r="P13" t="s">
        <v>1237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502</v>
      </c>
      <c r="F14" s="11">
        <f t="shared" si="1"/>
        <v>1</v>
      </c>
      <c r="G14" s="11">
        <f t="shared" si="2"/>
        <v>596739096</v>
      </c>
      <c r="K14" t="s">
        <v>1240</v>
      </c>
      <c r="L14" t="s">
        <v>1239</v>
      </c>
      <c r="M14" t="s">
        <v>1242</v>
      </c>
      <c r="N14" t="s">
        <v>1244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490</v>
      </c>
      <c r="F15" s="11">
        <f t="shared" si="1"/>
        <v>1</v>
      </c>
      <c r="G15" s="11">
        <f t="shared" si="2"/>
        <v>978000000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478</v>
      </c>
      <c r="F16" s="11">
        <f t="shared" si="1"/>
        <v>1</v>
      </c>
      <c r="G16" s="11">
        <f t="shared" si="2"/>
        <v>1431000000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477</v>
      </c>
      <c r="F17" s="11">
        <f t="shared" si="1"/>
        <v>1</v>
      </c>
      <c r="G17" s="11">
        <f t="shared" si="2"/>
        <v>1428000000</v>
      </c>
      <c r="K17" t="s">
        <v>1258</v>
      </c>
      <c r="L17">
        <v>200011228</v>
      </c>
      <c r="M17" t="s">
        <v>1259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476</v>
      </c>
      <c r="F18" s="11">
        <f t="shared" si="1"/>
        <v>1</v>
      </c>
      <c r="G18" s="11">
        <f t="shared" si="2"/>
        <v>902500000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461</v>
      </c>
      <c r="F19" s="11">
        <f t="shared" si="1"/>
        <v>1</v>
      </c>
      <c r="G19" s="11">
        <f t="shared" si="2"/>
        <v>370075980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460</v>
      </c>
      <c r="F20" s="11">
        <f t="shared" si="1"/>
        <v>1</v>
      </c>
      <c r="G20" s="11">
        <f t="shared" si="2"/>
        <v>1377000000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454</v>
      </c>
      <c r="F21" s="11">
        <f t="shared" si="1"/>
        <v>1</v>
      </c>
      <c r="G21" s="11">
        <f t="shared" si="2"/>
        <v>226500000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440</v>
      </c>
      <c r="F22" s="11">
        <f t="shared" si="1"/>
        <v>0</v>
      </c>
      <c r="G22" s="11">
        <f t="shared" si="2"/>
        <v>-1320000000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432</v>
      </c>
      <c r="F23" s="11">
        <f t="shared" si="1"/>
        <v>1</v>
      </c>
      <c r="G23" s="11">
        <f t="shared" si="2"/>
        <v>1293000000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432</v>
      </c>
      <c r="F24" s="11">
        <f t="shared" si="1"/>
        <v>1</v>
      </c>
      <c r="G24" s="11">
        <f>B24*(E24-F24)</f>
        <v>271893333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430</v>
      </c>
      <c r="F25" s="11">
        <f t="shared" si="1"/>
        <v>0</v>
      </c>
      <c r="G25" s="11">
        <f t="shared" ref="G25:G30" si="3">B25*(E25-F25)</f>
        <v>-1376387000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428</v>
      </c>
      <c r="F26" s="11">
        <f t="shared" si="1"/>
        <v>0</v>
      </c>
      <c r="G26" s="11">
        <f t="shared" si="3"/>
        <v>-1284385200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426</v>
      </c>
      <c r="F27" s="11">
        <f t="shared" si="1"/>
        <v>1</v>
      </c>
      <c r="G27" s="11">
        <f t="shared" si="3"/>
        <v>425000000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426</v>
      </c>
      <c r="F28" s="11">
        <f t="shared" si="1"/>
        <v>1</v>
      </c>
      <c r="G28" s="11">
        <f t="shared" si="3"/>
        <v>2550000000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426</v>
      </c>
      <c r="F29" s="11">
        <f t="shared" si="1"/>
        <v>1</v>
      </c>
      <c r="G29" s="11">
        <f t="shared" si="3"/>
        <v>2465000000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426</v>
      </c>
      <c r="F30" s="11">
        <f t="shared" si="1"/>
        <v>0</v>
      </c>
      <c r="G30" s="11">
        <f t="shared" si="3"/>
        <v>-2130000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425</v>
      </c>
      <c r="F31" s="11">
        <f t="shared" si="1"/>
        <v>0</v>
      </c>
      <c r="G31" s="11">
        <f>B31*(E31-F31)</f>
        <v>-11050000000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423</v>
      </c>
      <c r="F32" s="11">
        <f t="shared" si="1"/>
        <v>0</v>
      </c>
      <c r="G32" s="11">
        <f>B32*(E32-F32)</f>
        <v>-11082600000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404</v>
      </c>
      <c r="F33" s="11">
        <f t="shared" si="1"/>
        <v>1</v>
      </c>
      <c r="G33" s="11">
        <f>B33*(E33-F33)</f>
        <v>131783015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386</v>
      </c>
      <c r="F34" s="11">
        <f t="shared" si="1"/>
        <v>1</v>
      </c>
      <c r="G34" s="11">
        <f t="shared" ref="G34:G126" si="4">B34*(E34-F34)</f>
        <v>10934000000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386</v>
      </c>
      <c r="F35" s="11">
        <f t="shared" si="1"/>
        <v>1</v>
      </c>
      <c r="G35" s="12">
        <f t="shared" si="4"/>
        <v>4235000000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371</v>
      </c>
      <c r="F36" s="11">
        <f t="shared" si="1"/>
        <v>1</v>
      </c>
      <c r="G36" s="11">
        <f t="shared" si="4"/>
        <v>154919370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371</v>
      </c>
      <c r="F37" s="11">
        <f t="shared" si="1"/>
        <v>0</v>
      </c>
      <c r="G37" s="11">
        <f t="shared" si="4"/>
        <v>-333900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370</v>
      </c>
      <c r="F38" s="11">
        <f t="shared" si="1"/>
        <v>1</v>
      </c>
      <c r="G38" s="12">
        <f t="shared" si="4"/>
        <v>738000000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370</v>
      </c>
      <c r="F39" s="11">
        <f>IF(B39&gt;0,1,0)</f>
        <v>1</v>
      </c>
      <c r="G39" s="11">
        <f t="shared" si="4"/>
        <v>738000000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356</v>
      </c>
      <c r="F40" s="11">
        <f>IF(B40&gt;0,1,0)</f>
        <v>0</v>
      </c>
      <c r="G40" s="11">
        <f t="shared" si="4"/>
        <v>-71200000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356</v>
      </c>
      <c r="F41" s="11">
        <f>IF(B41&gt;0,1,0)</f>
        <v>0</v>
      </c>
      <c r="G41" s="11">
        <f t="shared" si="4"/>
        <v>-220720000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356</v>
      </c>
      <c r="F42" s="11">
        <f t="shared" ref="F42:F126" si="5">IF(B42&gt;0,1,0)</f>
        <v>0</v>
      </c>
      <c r="G42" s="11">
        <f t="shared" si="4"/>
        <v>-42720000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354</v>
      </c>
      <c r="F43" s="11">
        <f t="shared" si="5"/>
        <v>1</v>
      </c>
      <c r="G43" s="11">
        <f t="shared" si="4"/>
        <v>229450000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354</v>
      </c>
      <c r="F44" s="11">
        <f t="shared" si="5"/>
        <v>0</v>
      </c>
      <c r="G44" s="11">
        <f t="shared" si="4"/>
        <v>-1770000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354</v>
      </c>
      <c r="F45" s="11">
        <f t="shared" si="5"/>
        <v>1</v>
      </c>
      <c r="G45" s="11">
        <f t="shared" si="4"/>
        <v>10237000000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350</v>
      </c>
      <c r="F46" s="11">
        <f t="shared" si="5"/>
        <v>0</v>
      </c>
      <c r="G46" s="11">
        <f t="shared" si="4"/>
        <v>-70000000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347</v>
      </c>
      <c r="F47" s="11">
        <f t="shared" si="5"/>
        <v>0</v>
      </c>
      <c r="G47" s="11">
        <f t="shared" si="4"/>
        <v>-69400000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346</v>
      </c>
      <c r="F48" s="11">
        <f t="shared" si="5"/>
        <v>0</v>
      </c>
      <c r="G48" s="11">
        <f t="shared" si="4"/>
        <v>-69200000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341</v>
      </c>
      <c r="F49" s="11">
        <f t="shared" si="5"/>
        <v>1</v>
      </c>
      <c r="G49" s="11">
        <f t="shared" si="4"/>
        <v>1020000000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341</v>
      </c>
      <c r="F50" s="11">
        <f t="shared" si="5"/>
        <v>1</v>
      </c>
      <c r="G50" s="12">
        <f t="shared" si="4"/>
        <v>1020000000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340</v>
      </c>
      <c r="F51" s="11">
        <f t="shared" si="5"/>
        <v>1</v>
      </c>
      <c r="G51" s="11">
        <f t="shared" si="4"/>
        <v>259605183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340</v>
      </c>
      <c r="F52" s="11">
        <f t="shared" si="5"/>
        <v>0</v>
      </c>
      <c r="G52" s="11">
        <f t="shared" si="4"/>
        <v>-68000000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333</v>
      </c>
      <c r="F53" s="11">
        <f t="shared" si="5"/>
        <v>0</v>
      </c>
      <c r="G53" s="11">
        <f t="shared" si="4"/>
        <v>-133366500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324</v>
      </c>
      <c r="F54" s="11">
        <f t="shared" si="5"/>
        <v>0</v>
      </c>
      <c r="G54" s="11">
        <f t="shared" si="4"/>
        <v>-324128304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318</v>
      </c>
      <c r="F55" s="11">
        <f t="shared" si="5"/>
        <v>0</v>
      </c>
      <c r="G55" s="11">
        <f t="shared" si="4"/>
        <v>-12720000000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309</v>
      </c>
      <c r="F56" s="11">
        <f t="shared" si="5"/>
        <v>1</v>
      </c>
      <c r="G56" s="11">
        <f t="shared" si="4"/>
        <v>266620816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282</v>
      </c>
      <c r="F57" s="11">
        <f t="shared" si="5"/>
        <v>0</v>
      </c>
      <c r="G57" s="11">
        <f t="shared" si="4"/>
        <v>-14156400000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281</v>
      </c>
      <c r="F58" s="11">
        <f t="shared" si="5"/>
        <v>0</v>
      </c>
      <c r="G58" s="11">
        <f t="shared" si="4"/>
        <v>-3428340500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278</v>
      </c>
      <c r="F59" s="11">
        <f t="shared" si="5"/>
        <v>1</v>
      </c>
      <c r="G59" s="11">
        <f t="shared" si="4"/>
        <v>148168962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277</v>
      </c>
      <c r="F60" s="11">
        <f t="shared" si="5"/>
        <v>0</v>
      </c>
      <c r="G60" s="11">
        <f t="shared" si="4"/>
        <v>-93626000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275</v>
      </c>
      <c r="F61" s="11">
        <f t="shared" si="5"/>
        <v>0</v>
      </c>
      <c r="G61" s="11">
        <f t="shared" si="4"/>
        <v>-41250000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271</v>
      </c>
      <c r="F62" s="11">
        <f t="shared" si="5"/>
        <v>0</v>
      </c>
      <c r="G62" s="11">
        <f t="shared" si="4"/>
        <v>-27100000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267</v>
      </c>
      <c r="F63" s="11">
        <f t="shared" si="5"/>
        <v>0</v>
      </c>
      <c r="G63" s="11">
        <f t="shared" si="4"/>
        <v>-53400000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267</v>
      </c>
      <c r="F64" s="11">
        <f t="shared" si="5"/>
        <v>0</v>
      </c>
      <c r="G64" s="11">
        <f t="shared" si="4"/>
        <v>-23229000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263</v>
      </c>
      <c r="F65" s="11">
        <f t="shared" si="5"/>
        <v>0</v>
      </c>
      <c r="G65" s="11">
        <f t="shared" si="4"/>
        <v>-7224610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262</v>
      </c>
      <c r="F66" s="11">
        <f t="shared" si="5"/>
        <v>0</v>
      </c>
      <c r="G66" s="11">
        <f t="shared" si="4"/>
        <v>-87508000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257</v>
      </c>
      <c r="F67" s="11">
        <f t="shared" si="5"/>
        <v>0</v>
      </c>
      <c r="G67" s="11">
        <f t="shared" si="4"/>
        <v>-5140000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256</v>
      </c>
      <c r="F68" s="11">
        <f t="shared" si="5"/>
        <v>0</v>
      </c>
      <c r="G68" s="11">
        <f t="shared" si="4"/>
        <v>-76928000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256</v>
      </c>
      <c r="F69" s="11">
        <f t="shared" si="5"/>
        <v>0</v>
      </c>
      <c r="G69" s="11">
        <f t="shared" si="4"/>
        <v>-25600000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251</v>
      </c>
      <c r="F70" s="11">
        <f t="shared" si="5"/>
        <v>0</v>
      </c>
      <c r="G70" s="11">
        <f t="shared" si="4"/>
        <v>-50200000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247</v>
      </c>
      <c r="F71" s="11">
        <f t="shared" si="5"/>
        <v>1</v>
      </c>
      <c r="G71" s="11">
        <f t="shared" si="4"/>
        <v>3785694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247</v>
      </c>
      <c r="F72" s="11">
        <f t="shared" si="5"/>
        <v>1</v>
      </c>
      <c r="G72" s="11">
        <f t="shared" si="4"/>
        <v>984000000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247</v>
      </c>
      <c r="F73" s="11">
        <f t="shared" si="5"/>
        <v>1</v>
      </c>
      <c r="G73" s="11">
        <f t="shared" si="4"/>
        <v>639600000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247</v>
      </c>
      <c r="F74" s="11">
        <f t="shared" si="5"/>
        <v>1</v>
      </c>
      <c r="G74" s="11">
        <f t="shared" si="4"/>
        <v>738000000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244</v>
      </c>
      <c r="F75" s="11">
        <f t="shared" si="5"/>
        <v>0</v>
      </c>
      <c r="G75" s="11">
        <f t="shared" si="4"/>
        <v>-48800000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241</v>
      </c>
      <c r="F76" s="11">
        <f t="shared" si="5"/>
        <v>0</v>
      </c>
      <c r="G76" s="11">
        <f t="shared" si="4"/>
        <v>-482168700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241</v>
      </c>
      <c r="F77" s="11">
        <f t="shared" si="5"/>
        <v>0</v>
      </c>
      <c r="G77" s="11">
        <f t="shared" si="4"/>
        <v>-48200000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237</v>
      </c>
      <c r="F78" s="11">
        <f t="shared" si="5"/>
        <v>1</v>
      </c>
      <c r="G78" s="11">
        <f t="shared" si="4"/>
        <v>472000000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229</v>
      </c>
      <c r="F79" s="11">
        <f t="shared" si="5"/>
        <v>0</v>
      </c>
      <c r="G79" s="11">
        <f t="shared" si="4"/>
        <v>-229114500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229</v>
      </c>
      <c r="F80" s="11">
        <f t="shared" si="5"/>
        <v>0</v>
      </c>
      <c r="G80" s="11">
        <f t="shared" si="4"/>
        <v>-32506550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226</v>
      </c>
      <c r="F81" s="11">
        <f t="shared" si="5"/>
        <v>0</v>
      </c>
      <c r="G81" s="11">
        <f t="shared" si="4"/>
        <v>-203513000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216</v>
      </c>
      <c r="F82" s="11">
        <f t="shared" si="5"/>
        <v>1</v>
      </c>
      <c r="G82" s="11">
        <f t="shared" si="4"/>
        <v>17468965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194</v>
      </c>
      <c r="F83" s="11">
        <f t="shared" si="5"/>
        <v>1</v>
      </c>
      <c r="G83" s="11">
        <f t="shared" si="4"/>
        <v>9650000000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193</v>
      </c>
      <c r="F84" s="11">
        <f t="shared" si="5"/>
        <v>1</v>
      </c>
      <c r="G84" s="11">
        <f t="shared" si="4"/>
        <v>5760000000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193</v>
      </c>
      <c r="F85" s="11">
        <f t="shared" si="5"/>
        <v>0</v>
      </c>
      <c r="G85" s="11">
        <f t="shared" si="4"/>
        <v>-13992500000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192</v>
      </c>
      <c r="F86" s="11">
        <f t="shared" si="5"/>
        <v>0</v>
      </c>
      <c r="G86" s="11">
        <f t="shared" si="4"/>
        <v>-53952000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187</v>
      </c>
      <c r="F87" s="11">
        <f t="shared" si="5"/>
        <v>1</v>
      </c>
      <c r="G87" s="11">
        <f t="shared" si="4"/>
        <v>465000000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186</v>
      </c>
      <c r="F88" s="11">
        <f t="shared" si="5"/>
        <v>1</v>
      </c>
      <c r="G88" s="11">
        <f t="shared" si="4"/>
        <v>14492900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181</v>
      </c>
      <c r="F89" s="11">
        <f t="shared" si="5"/>
        <v>1</v>
      </c>
      <c r="G89" s="11">
        <f t="shared" si="4"/>
        <v>2700000000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156</v>
      </c>
      <c r="F90" s="11">
        <f t="shared" si="5"/>
        <v>1</v>
      </c>
      <c r="G90" s="11">
        <f t="shared" si="4"/>
        <v>37951130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127</v>
      </c>
      <c r="F91" s="11">
        <f t="shared" si="5"/>
        <v>1</v>
      </c>
      <c r="G91" s="11">
        <f t="shared" si="4"/>
        <v>34291530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97</v>
      </c>
      <c r="F92" s="11">
        <f t="shared" si="5"/>
        <v>1</v>
      </c>
      <c r="G92" s="11">
        <f t="shared" si="4"/>
        <v>288000000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97</v>
      </c>
      <c r="F93" s="11">
        <f t="shared" si="5"/>
        <v>1</v>
      </c>
      <c r="G93" s="11">
        <f t="shared" si="4"/>
        <v>26340960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96</v>
      </c>
      <c r="F94" s="11">
        <f t="shared" si="5"/>
        <v>1</v>
      </c>
      <c r="G94" s="11">
        <f t="shared" si="4"/>
        <v>522500000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95</v>
      </c>
      <c r="F95" s="11">
        <f t="shared" si="5"/>
        <v>1</v>
      </c>
      <c r="G95" s="11">
        <f t="shared" si="4"/>
        <v>282000000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94</v>
      </c>
      <c r="F96" s="11">
        <f t="shared" si="5"/>
        <v>1</v>
      </c>
      <c r="G96" s="11">
        <f t="shared" si="4"/>
        <v>279000000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93</v>
      </c>
      <c r="F97" s="11">
        <f t="shared" si="5"/>
        <v>1</v>
      </c>
      <c r="G97" s="11">
        <f t="shared" si="4"/>
        <v>276000000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92</v>
      </c>
      <c r="F98" s="11">
        <f t="shared" si="5"/>
        <v>1</v>
      </c>
      <c r="G98" s="11">
        <f t="shared" si="4"/>
        <v>273000000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91</v>
      </c>
      <c r="F99" s="11">
        <f t="shared" si="5"/>
        <v>1</v>
      </c>
      <c r="G99" s="11">
        <f t="shared" si="4"/>
        <v>270000000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89</v>
      </c>
      <c r="F100" s="11">
        <f t="shared" si="5"/>
        <v>1</v>
      </c>
      <c r="G100" s="11">
        <f t="shared" si="4"/>
        <v>87956000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88</v>
      </c>
      <c r="F101" s="11">
        <f t="shared" si="5"/>
        <v>0</v>
      </c>
      <c r="G101" s="11">
        <f t="shared" si="4"/>
        <v>-174829600</v>
      </c>
    </row>
    <row r="102" spans="1:7" ht="30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67</v>
      </c>
      <c r="F102" s="11">
        <f t="shared" si="5"/>
        <v>1</v>
      </c>
      <c r="G102" s="11">
        <f t="shared" si="4"/>
        <v>198000000</v>
      </c>
    </row>
    <row r="103" spans="1:7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67</v>
      </c>
      <c r="F103" s="11">
        <f t="shared" si="5"/>
        <v>1</v>
      </c>
      <c r="G103" s="11">
        <f t="shared" si="4"/>
        <v>19503000</v>
      </c>
    </row>
    <row r="104" spans="1:7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52</v>
      </c>
      <c r="F104" s="11">
        <f t="shared" si="5"/>
        <v>0</v>
      </c>
      <c r="G104" s="11">
        <f t="shared" si="4"/>
        <v>-520000</v>
      </c>
    </row>
    <row r="105" spans="1:7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46</v>
      </c>
      <c r="F105" s="11">
        <f t="shared" si="5"/>
        <v>1</v>
      </c>
      <c r="G105" s="11">
        <f t="shared" si="4"/>
        <v>89955000</v>
      </c>
    </row>
    <row r="106" spans="1:7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41</v>
      </c>
      <c r="F106" s="11">
        <f t="shared" si="5"/>
        <v>0</v>
      </c>
      <c r="G106" s="11">
        <f t="shared" si="4"/>
        <v>-2460000000</v>
      </c>
    </row>
    <row r="107" spans="1:7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41</v>
      </c>
      <c r="F107" s="11">
        <f t="shared" si="5"/>
        <v>1</v>
      </c>
      <c r="G107" s="11">
        <f t="shared" si="4"/>
        <v>234000000</v>
      </c>
    </row>
    <row r="108" spans="1:7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40</v>
      </c>
      <c r="F108" s="11">
        <f t="shared" si="5"/>
        <v>1</v>
      </c>
      <c r="G108" s="11">
        <f t="shared" si="4"/>
        <v>117000000</v>
      </c>
    </row>
    <row r="109" spans="1:7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39</v>
      </c>
      <c r="F109" s="11">
        <f t="shared" si="5"/>
        <v>1</v>
      </c>
      <c r="G109" s="11">
        <f t="shared" si="4"/>
        <v>76000000</v>
      </c>
    </row>
    <row r="110" spans="1:7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39</v>
      </c>
      <c r="F110" s="11">
        <f t="shared" si="5"/>
        <v>0</v>
      </c>
      <c r="G110" s="11">
        <f t="shared" si="4"/>
        <v>-195000000</v>
      </c>
    </row>
    <row r="111" spans="1:7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38</v>
      </c>
      <c r="F111" s="11">
        <f t="shared" si="5"/>
        <v>1</v>
      </c>
      <c r="G111" s="11">
        <f t="shared" si="4"/>
        <v>15268716</v>
      </c>
    </row>
    <row r="112" spans="1:7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30</v>
      </c>
      <c r="F112" s="11">
        <f t="shared" si="5"/>
        <v>1</v>
      </c>
      <c r="G112" s="11">
        <f t="shared" si="4"/>
        <v>1218000000</v>
      </c>
    </row>
    <row r="113" spans="1:7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23</v>
      </c>
      <c r="F113" s="11">
        <f t="shared" si="5"/>
        <v>0</v>
      </c>
      <c r="G113" s="11">
        <f t="shared" si="4"/>
        <v>-575000000</v>
      </c>
    </row>
    <row r="114" spans="1:7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22</v>
      </c>
      <c r="F114" s="11">
        <f t="shared" si="5"/>
        <v>0</v>
      </c>
      <c r="G114" s="11">
        <f t="shared" si="4"/>
        <v>-4400000</v>
      </c>
    </row>
    <row r="115" spans="1:7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20</v>
      </c>
      <c r="F115" s="11">
        <f t="shared" si="5"/>
        <v>0</v>
      </c>
      <c r="G115" s="11">
        <f t="shared" si="4"/>
        <v>-360000000</v>
      </c>
    </row>
    <row r="116" spans="1:7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19</v>
      </c>
      <c r="F116" s="11">
        <f t="shared" si="5"/>
        <v>0</v>
      </c>
      <c r="G116" s="11">
        <f t="shared" si="4"/>
        <v>-47500000</v>
      </c>
    </row>
    <row r="117" spans="1:7">
      <c r="A117" s="11" t="s">
        <v>1245</v>
      </c>
      <c r="B117" s="38">
        <v>595000</v>
      </c>
      <c r="C117" s="73" t="s">
        <v>1043</v>
      </c>
      <c r="D117" s="11">
        <v>2</v>
      </c>
      <c r="E117" s="11">
        <f t="shared" si="6"/>
        <v>9</v>
      </c>
      <c r="F117" s="11">
        <f t="shared" si="5"/>
        <v>1</v>
      </c>
      <c r="G117" s="11">
        <f t="shared" si="4"/>
        <v>4760000</v>
      </c>
    </row>
    <row r="118" spans="1:7">
      <c r="A118" s="11" t="s">
        <v>1257</v>
      </c>
      <c r="B118" s="38">
        <v>137334</v>
      </c>
      <c r="C118" s="73" t="s">
        <v>510</v>
      </c>
      <c r="D118" s="11">
        <v>2</v>
      </c>
      <c r="E118" s="11">
        <f t="shared" si="6"/>
        <v>7</v>
      </c>
      <c r="F118" s="11">
        <f t="shared" si="5"/>
        <v>1</v>
      </c>
      <c r="G118" s="11">
        <f t="shared" si="4"/>
        <v>824004</v>
      </c>
    </row>
    <row r="119" spans="1:7">
      <c r="A119" s="11" t="s">
        <v>1260</v>
      </c>
      <c r="B119" s="38">
        <v>-3200900</v>
      </c>
      <c r="C119" s="73" t="s">
        <v>1261</v>
      </c>
      <c r="D119" s="11">
        <v>1</v>
      </c>
      <c r="E119" s="11">
        <f t="shared" si="6"/>
        <v>5</v>
      </c>
      <c r="F119" s="11">
        <f t="shared" si="5"/>
        <v>0</v>
      </c>
      <c r="G119" s="11">
        <f t="shared" si="4"/>
        <v>-16004500</v>
      </c>
    </row>
    <row r="120" spans="1:7">
      <c r="A120" s="11" t="s">
        <v>1269</v>
      </c>
      <c r="B120" s="38">
        <v>16276000</v>
      </c>
      <c r="C120" s="73" t="s">
        <v>1271</v>
      </c>
      <c r="D120" s="11">
        <v>3</v>
      </c>
      <c r="E120" s="11">
        <f t="shared" si="6"/>
        <v>4</v>
      </c>
      <c r="F120" s="11">
        <f t="shared" si="5"/>
        <v>1</v>
      </c>
      <c r="G120" s="11">
        <f t="shared" si="4"/>
        <v>48828000</v>
      </c>
    </row>
    <row r="121" spans="1:7">
      <c r="A121" s="11" t="s">
        <v>1285</v>
      </c>
      <c r="B121" s="38">
        <v>3000000</v>
      </c>
      <c r="C121" s="73" t="s">
        <v>727</v>
      </c>
      <c r="D121" s="11">
        <v>1</v>
      </c>
      <c r="E121" s="11">
        <f t="shared" si="6"/>
        <v>1</v>
      </c>
      <c r="F121" s="11">
        <f t="shared" si="5"/>
        <v>1</v>
      </c>
      <c r="G121" s="11">
        <f t="shared" si="4"/>
        <v>0</v>
      </c>
    </row>
    <row r="122" spans="1:7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>
      <c r="A127" s="11"/>
      <c r="B127" s="29">
        <f>SUM(B2:B126)</f>
        <v>20834895</v>
      </c>
      <c r="C127" s="11"/>
      <c r="D127" s="11"/>
      <c r="E127" s="11"/>
      <c r="F127" s="11"/>
      <c r="G127" s="29">
        <f>SUM(G2:G126)</f>
        <v>21569049120</v>
      </c>
    </row>
    <row r="128" spans="1:7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>
      <c r="A129" s="11"/>
      <c r="B129" s="11"/>
      <c r="C129" s="11"/>
      <c r="D129" s="11"/>
      <c r="E129" s="11"/>
      <c r="F129" s="11"/>
      <c r="G129" s="11"/>
    </row>
    <row r="130" spans="1:7">
      <c r="A130" s="11"/>
      <c r="B130" s="11"/>
      <c r="C130" s="11"/>
      <c r="D130" s="11"/>
      <c r="E130" s="11"/>
      <c r="F130" s="11"/>
      <c r="G130" s="3">
        <f>G127/E2</f>
        <v>42044930.058479533</v>
      </c>
    </row>
    <row r="131" spans="1:7">
      <c r="A131" s="11"/>
      <c r="B131" s="11"/>
      <c r="C131" s="11"/>
      <c r="D131" s="11"/>
      <c r="E131" s="11"/>
      <c r="F131" s="11"/>
      <c r="G131" s="11" t="s">
        <v>286</v>
      </c>
    </row>
    <row r="134" spans="1:7" ht="30">
      <c r="B134" s="72" t="s">
        <v>857</v>
      </c>
    </row>
    <row r="135" spans="1:7">
      <c r="B135" s="7"/>
    </row>
    <row r="137" spans="1:7">
      <c r="B137" s="7"/>
    </row>
    <row r="138" spans="1:7">
      <c r="G138" t="s">
        <v>574</v>
      </c>
    </row>
    <row r="139" spans="1:7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topLeftCell="D1" zoomScaleNormal="100" workbookViewId="0">
      <selection activeCell="J19" sqref="J1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6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-L62*12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L59*12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1267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f>L31</f>
        <v>89231026</v>
      </c>
      <c r="G16" s="101">
        <f t="shared" si="0"/>
        <v>7904884</v>
      </c>
      <c r="H16" s="11"/>
      <c r="K16" s="19" t="s">
        <v>299</v>
      </c>
      <c r="L16" s="43">
        <f>'مسکن ایلیا'!B228</f>
        <v>2741544</v>
      </c>
      <c r="M16" s="2" t="s">
        <v>753</v>
      </c>
      <c r="N16" s="3">
        <f>'مسکن مریم یاران'!B127</f>
        <v>20834895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36482</v>
      </c>
      <c r="M17" s="2" t="s">
        <v>657</v>
      </c>
      <c r="N17" s="3">
        <f>سارا!D177</f>
        <v>90562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-15405000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123000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15405000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v>0</v>
      </c>
      <c r="M25" s="2" t="s">
        <v>1117</v>
      </c>
      <c r="N25" s="3">
        <f>سکه!U22</f>
        <v>77000000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v>0</v>
      </c>
      <c r="M26" s="2" t="s">
        <v>1147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1166</v>
      </c>
      <c r="L27" s="123">
        <v>0</v>
      </c>
      <c r="M27" s="118" t="s">
        <v>1182</v>
      </c>
      <c r="N27" s="119">
        <v>2500000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1264</v>
      </c>
      <c r="L28" s="123">
        <v>4935000</v>
      </c>
      <c r="M28" s="118"/>
      <c r="N28" s="119"/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1265</v>
      </c>
      <c r="L29" s="123">
        <v>101700</v>
      </c>
      <c r="M29" s="118"/>
      <c r="N29" s="119"/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18" t="s">
        <v>25</v>
      </c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2" t="s">
        <v>598</v>
      </c>
      <c r="L31" s="3">
        <f>SUM(L16:L28)</f>
        <v>89231026</v>
      </c>
      <c r="M31" s="2"/>
      <c r="N31" s="3">
        <f>SUM(N16:N26)</f>
        <v>156930457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2" t="s">
        <v>599</v>
      </c>
      <c r="L32" s="3">
        <f>L16+L17+L20+L29</f>
        <v>3002726</v>
      </c>
      <c r="M32" s="2"/>
      <c r="N32" s="3">
        <f>N16+N17+N22</f>
        <v>21325457</v>
      </c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716</v>
      </c>
      <c r="L33" s="1">
        <f>L31+N7</f>
        <v>146231026</v>
      </c>
      <c r="M33" s="3"/>
      <c r="N33" s="2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5"/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M36" s="25"/>
      <c r="O36" s="118" t="s">
        <v>1171</v>
      </c>
      <c r="P36" s="118"/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M37" s="26"/>
      <c r="O37" s="118" t="s">
        <v>267</v>
      </c>
      <c r="P37" s="118" t="s">
        <v>1186</v>
      </c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3"/>
      <c r="L38" s="11" t="s">
        <v>304</v>
      </c>
      <c r="M38" s="25"/>
      <c r="N38" s="25"/>
      <c r="O38" s="14">
        <v>2900000</v>
      </c>
      <c r="P38" s="118" t="s">
        <v>1187</v>
      </c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305</v>
      </c>
      <c r="L39" s="1">
        <v>70000</v>
      </c>
      <c r="M39" s="25"/>
      <c r="N39" t="s">
        <v>25</v>
      </c>
      <c r="O39" s="14">
        <v>21000000</v>
      </c>
      <c r="P39" s="118" t="s">
        <v>1188</v>
      </c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1" t="s">
        <v>321</v>
      </c>
      <c r="L40" s="1">
        <v>100000</v>
      </c>
      <c r="M40" t="s">
        <v>25</v>
      </c>
      <c r="O40" s="14">
        <v>7600000</v>
      </c>
      <c r="P40" s="118" t="s">
        <v>1189</v>
      </c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1" t="s">
        <v>306</v>
      </c>
      <c r="L41" s="1">
        <v>80000</v>
      </c>
      <c r="O41" s="14">
        <v>0</v>
      </c>
      <c r="P41" s="56" t="s">
        <v>1190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307</v>
      </c>
      <c r="L42" s="1">
        <v>150000</v>
      </c>
      <c r="O42" s="118">
        <v>5000000</v>
      </c>
      <c r="P42" s="118" t="s">
        <v>1275</v>
      </c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308</v>
      </c>
      <c r="L43" s="1">
        <v>300000</v>
      </c>
      <c r="O43" s="123">
        <v>6100000</v>
      </c>
      <c r="P43" s="56" t="s">
        <v>890</v>
      </c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1" t="s">
        <v>309</v>
      </c>
      <c r="L44" s="1">
        <v>100000</v>
      </c>
      <c r="O44" s="14">
        <v>4000000</v>
      </c>
      <c r="P44" s="56" t="s">
        <v>1193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1" t="s">
        <v>310</v>
      </c>
      <c r="L45" s="1">
        <v>200000</v>
      </c>
      <c r="O45" s="123">
        <v>15000000</v>
      </c>
      <c r="P45" s="56" t="s">
        <v>1191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8" t="s">
        <v>311</v>
      </c>
      <c r="L46" s="18">
        <v>300000</v>
      </c>
      <c r="O46" s="123">
        <v>15000000</v>
      </c>
      <c r="P46" s="56" t="s">
        <v>1192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312</v>
      </c>
      <c r="L47" s="1">
        <v>200000</v>
      </c>
      <c r="O47" s="123">
        <v>3000000</v>
      </c>
      <c r="P47" s="56" t="s">
        <v>1198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313</v>
      </c>
      <c r="L48" s="1">
        <v>20000</v>
      </c>
      <c r="O48" s="123">
        <v>3000000</v>
      </c>
      <c r="P48" s="56" t="s">
        <v>1201</v>
      </c>
    </row>
    <row r="49" spans="1:16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315</v>
      </c>
      <c r="L49" s="1">
        <v>50000</v>
      </c>
      <c r="O49" s="14">
        <v>2500000</v>
      </c>
      <c r="P49" s="56" t="s">
        <v>1182</v>
      </c>
    </row>
    <row r="50" spans="1:16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316</v>
      </c>
      <c r="L50" s="1">
        <v>90000</v>
      </c>
      <c r="O50" s="123">
        <v>5000000</v>
      </c>
      <c r="P50" s="56" t="s">
        <v>1199</v>
      </c>
    </row>
    <row r="51" spans="1:16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317</v>
      </c>
      <c r="L51" s="1">
        <v>50000</v>
      </c>
      <c r="O51" s="14">
        <v>3000000</v>
      </c>
      <c r="P51" s="56" t="s">
        <v>1194</v>
      </c>
    </row>
    <row r="52" spans="1:16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327</v>
      </c>
      <c r="L52" s="1">
        <v>150000</v>
      </c>
      <c r="O52" s="123">
        <v>5000000</v>
      </c>
      <c r="P52" s="56" t="s">
        <v>1196</v>
      </c>
    </row>
    <row r="53" spans="1:16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318</v>
      </c>
      <c r="L53" s="1">
        <v>15000</v>
      </c>
      <c r="O53" s="123">
        <v>20000000</v>
      </c>
      <c r="P53" s="56" t="s">
        <v>1197</v>
      </c>
    </row>
    <row r="54" spans="1:16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319</v>
      </c>
      <c r="L54" s="1">
        <v>20000</v>
      </c>
      <c r="O54" s="123">
        <v>10000000</v>
      </c>
      <c r="P54" s="56" t="s">
        <v>1200</v>
      </c>
    </row>
    <row r="55" spans="1:16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320</v>
      </c>
      <c r="L55" s="1">
        <v>40000</v>
      </c>
      <c r="O55" s="123">
        <v>3000000</v>
      </c>
      <c r="P55" s="56" t="s">
        <v>1195</v>
      </c>
    </row>
    <row r="56" spans="1:16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322</v>
      </c>
      <c r="L56" s="1">
        <v>150000</v>
      </c>
      <c r="O56" s="119">
        <f>SUM(O38:O55)</f>
        <v>131100000</v>
      </c>
      <c r="P56" s="56" t="s">
        <v>1202</v>
      </c>
    </row>
    <row r="57" spans="1:16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324</v>
      </c>
      <c r="L57" s="1">
        <v>75000</v>
      </c>
      <c r="O57" s="123">
        <f>120*800000</f>
        <v>96000000</v>
      </c>
      <c r="P57" s="56" t="s">
        <v>1203</v>
      </c>
    </row>
    <row r="58" spans="1:16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314</v>
      </c>
      <c r="L58" s="1">
        <v>140000</v>
      </c>
      <c r="O58" s="123">
        <v>64800000</v>
      </c>
      <c r="P58" s="56" t="s">
        <v>1236</v>
      </c>
    </row>
    <row r="59" spans="1:16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 t="s">
        <v>478</v>
      </c>
      <c r="L59" s="3">
        <v>833333.33333399997</v>
      </c>
    </row>
    <row r="60" spans="1:16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/>
      <c r="L60" s="3"/>
    </row>
    <row r="61" spans="1:16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/>
      <c r="L61" s="3"/>
    </row>
    <row r="62" spans="1:16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2" t="s">
        <v>6</v>
      </c>
      <c r="L62" s="3">
        <f>SUM(L39:L60)</f>
        <v>3133333.3333339998</v>
      </c>
    </row>
    <row r="63" spans="1:16">
      <c r="E63" s="26"/>
      <c r="K63" s="2" t="s">
        <v>328</v>
      </c>
      <c r="L63" s="3">
        <f>L62/30</f>
        <v>104444.44444446666</v>
      </c>
    </row>
    <row r="64" spans="1:16">
      <c r="E64" s="26"/>
    </row>
    <row r="66" spans="1:28">
      <c r="O66" t="s">
        <v>1246</v>
      </c>
    </row>
    <row r="67" spans="1:28">
      <c r="A67" t="s">
        <v>25</v>
      </c>
      <c r="O67" t="s">
        <v>1247</v>
      </c>
    </row>
    <row r="69" spans="1:28">
      <c r="K69" s="48" t="s">
        <v>792</v>
      </c>
      <c r="L69" s="48" t="s">
        <v>476</v>
      </c>
      <c r="Q69" s="121"/>
      <c r="R69" s="121"/>
      <c r="S69" s="121"/>
      <c r="T69" s="121"/>
      <c r="X69" t="s">
        <v>1249</v>
      </c>
      <c r="Y69" t="s">
        <v>1250</v>
      </c>
      <c r="Z69" t="s">
        <v>1251</v>
      </c>
      <c r="AA69" t="s">
        <v>282</v>
      </c>
      <c r="AB69" t="s">
        <v>8</v>
      </c>
    </row>
    <row r="70" spans="1:28">
      <c r="K70" s="47">
        <v>1440000</v>
      </c>
      <c r="L70" s="48" t="s">
        <v>1055</v>
      </c>
      <c r="O70" s="121"/>
      <c r="P70" s="121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K71" s="47">
        <v>500000</v>
      </c>
      <c r="L71" s="48" t="s">
        <v>479</v>
      </c>
      <c r="O71" s="121"/>
      <c r="P71" s="135"/>
      <c r="Q71" s="121"/>
      <c r="R71" s="135"/>
      <c r="S71" s="121"/>
      <c r="T71" s="121"/>
      <c r="V71" t="s">
        <v>1248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1252</v>
      </c>
    </row>
    <row r="72" spans="1:28">
      <c r="K72" s="47">
        <v>180000</v>
      </c>
      <c r="L72" s="48" t="s">
        <v>558</v>
      </c>
      <c r="O72" s="121"/>
      <c r="P72" s="135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>
      <c r="K73" s="47">
        <v>300000</v>
      </c>
      <c r="L73" s="48" t="s">
        <v>788</v>
      </c>
      <c r="O73" s="121"/>
      <c r="P73" s="121"/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1254</v>
      </c>
    </row>
    <row r="74" spans="1:28">
      <c r="K74" s="47">
        <v>250000</v>
      </c>
      <c r="L74" s="48" t="s">
        <v>789</v>
      </c>
      <c r="V74" t="s">
        <v>1253</v>
      </c>
      <c r="W74" s="1">
        <v>15000000</v>
      </c>
      <c r="X74">
        <v>238</v>
      </c>
      <c r="AA74" s="1"/>
    </row>
    <row r="75" spans="1:28">
      <c r="K75" s="47">
        <v>500000</v>
      </c>
      <c r="L75" s="48" t="s">
        <v>790</v>
      </c>
      <c r="W75" s="1"/>
      <c r="Y75" t="s">
        <v>25</v>
      </c>
      <c r="AA75" s="1">
        <f>SUM(AA70:AA74)</f>
        <v>1185000000</v>
      </c>
    </row>
    <row r="76" spans="1:28">
      <c r="K76" s="47">
        <v>75000</v>
      </c>
      <c r="L76" s="48" t="s">
        <v>791</v>
      </c>
      <c r="AA76" t="s">
        <v>1255</v>
      </c>
    </row>
    <row r="77" spans="1:28">
      <c r="K77" s="47">
        <v>450000</v>
      </c>
      <c r="L77" s="48" t="s">
        <v>793</v>
      </c>
    </row>
    <row r="78" spans="1:28">
      <c r="K78" s="47">
        <v>500000</v>
      </c>
      <c r="L78" s="48" t="s">
        <v>564</v>
      </c>
      <c r="AA78" t="s">
        <v>1256</v>
      </c>
    </row>
    <row r="79" spans="1:28">
      <c r="K79" s="47">
        <v>50000</v>
      </c>
      <c r="L79" s="48" t="s">
        <v>796</v>
      </c>
      <c r="AA79" s="1">
        <f>AA75*300000/365000000</f>
        <v>973972.60273972608</v>
      </c>
    </row>
    <row r="80" spans="1:28">
      <c r="K80" s="47">
        <v>140000</v>
      </c>
      <c r="L80" s="48" t="s">
        <v>314</v>
      </c>
    </row>
    <row r="81" spans="11:12">
      <c r="K81" s="47"/>
      <c r="L81" s="48" t="s">
        <v>25</v>
      </c>
    </row>
    <row r="82" spans="11:12">
      <c r="K82" s="47">
        <f>SUM(K70:K81)</f>
        <v>4385000</v>
      </c>
      <c r="L82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7" sqref="D17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433</v>
      </c>
      <c r="F2">
        <v>1</v>
      </c>
      <c r="G2">
        <f>B2*(E2-F2)</f>
        <v>21600000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427</v>
      </c>
      <c r="F3">
        <v>1</v>
      </c>
      <c r="G3">
        <f t="shared" ref="G3:G21" si="1">B3*(E3-F3)</f>
        <v>6390000000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425</v>
      </c>
      <c r="F4">
        <v>0</v>
      </c>
      <c r="G4">
        <f t="shared" si="1"/>
        <v>-1275000000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424</v>
      </c>
      <c r="F5">
        <v>0</v>
      </c>
      <c r="G5">
        <f t="shared" si="1"/>
        <v>-1357181600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422</v>
      </c>
      <c r="F6">
        <v>0</v>
      </c>
      <c r="G6">
        <f t="shared" si="1"/>
        <v>-1266379800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420</v>
      </c>
      <c r="F7">
        <v>0</v>
      </c>
      <c r="G7">
        <f t="shared" si="1"/>
        <v>-2438478000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398</v>
      </c>
      <c r="F8">
        <v>0</v>
      </c>
      <c r="G8">
        <f t="shared" si="1"/>
        <v>21657966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126</v>
      </c>
      <c r="F9">
        <v>1</v>
      </c>
      <c r="G9">
        <f>B9*(E9-F9)</f>
        <v>-10000000</v>
      </c>
    </row>
    <row r="10" spans="1:7">
      <c r="A10" t="s">
        <v>894</v>
      </c>
      <c r="B10" s="3">
        <v>850000</v>
      </c>
      <c r="C10" t="s">
        <v>900</v>
      </c>
      <c r="D10">
        <v>14</v>
      </c>
      <c r="E10">
        <f t="shared" si="0"/>
        <v>61</v>
      </c>
      <c r="F10">
        <v>1</v>
      </c>
      <c r="G10">
        <f t="shared" si="1"/>
        <v>51000000</v>
      </c>
    </row>
    <row r="11" spans="1:7">
      <c r="A11" t="s">
        <v>916</v>
      </c>
      <c r="B11" s="3">
        <v>-700000</v>
      </c>
      <c r="C11" t="s">
        <v>926</v>
      </c>
      <c r="D11">
        <v>6</v>
      </c>
      <c r="E11">
        <f t="shared" si="0"/>
        <v>47</v>
      </c>
      <c r="F11">
        <v>1</v>
      </c>
      <c r="G11">
        <f t="shared" si="1"/>
        <v>-32200000</v>
      </c>
    </row>
    <row r="12" spans="1:7">
      <c r="A12" t="s">
        <v>924</v>
      </c>
      <c r="B12" s="3">
        <v>1000000</v>
      </c>
      <c r="C12" t="s">
        <v>927</v>
      </c>
      <c r="D12">
        <v>8</v>
      </c>
      <c r="E12">
        <f t="shared" si="0"/>
        <v>41</v>
      </c>
      <c r="F12">
        <v>1</v>
      </c>
      <c r="G12">
        <f t="shared" si="1"/>
        <v>40000000</v>
      </c>
    </row>
    <row r="13" spans="1:7">
      <c r="A13" t="s">
        <v>1050</v>
      </c>
      <c r="B13" s="3">
        <v>4857</v>
      </c>
      <c r="C13" t="s">
        <v>475</v>
      </c>
      <c r="D13">
        <v>1</v>
      </c>
      <c r="E13">
        <f t="shared" si="0"/>
        <v>33</v>
      </c>
      <c r="F13">
        <v>1</v>
      </c>
      <c r="G13">
        <f t="shared" si="1"/>
        <v>155424</v>
      </c>
    </row>
    <row r="14" spans="1:7">
      <c r="A14" t="s">
        <v>1056</v>
      </c>
      <c r="B14" s="3">
        <v>-191000</v>
      </c>
      <c r="C14" t="s">
        <v>926</v>
      </c>
      <c r="D14">
        <v>15</v>
      </c>
      <c r="E14">
        <f t="shared" si="0"/>
        <v>32</v>
      </c>
      <c r="F14">
        <v>1</v>
      </c>
      <c r="G14">
        <f t="shared" si="1"/>
        <v>-5921000</v>
      </c>
    </row>
    <row r="15" spans="1:7">
      <c r="A15" t="s">
        <v>1110</v>
      </c>
      <c r="B15" s="3">
        <v>-200000</v>
      </c>
      <c r="C15" t="s">
        <v>814</v>
      </c>
      <c r="D15">
        <v>16</v>
      </c>
      <c r="E15">
        <f t="shared" si="0"/>
        <v>17</v>
      </c>
      <c r="F15">
        <v>1</v>
      </c>
      <c r="G15">
        <f t="shared" si="1"/>
        <v>-3200000</v>
      </c>
    </row>
    <row r="16" spans="1:7">
      <c r="A16" t="s">
        <v>1281</v>
      </c>
      <c r="B16" s="3">
        <v>-700000</v>
      </c>
      <c r="C16" t="s">
        <v>1282</v>
      </c>
      <c r="D16">
        <v>1</v>
      </c>
      <c r="E16">
        <f t="shared" si="0"/>
        <v>1</v>
      </c>
      <c r="F16">
        <v>1</v>
      </c>
      <c r="G16">
        <f t="shared" si="1"/>
        <v>0</v>
      </c>
    </row>
    <row r="17" spans="2:7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>
      <c r="D24" t="s">
        <v>25</v>
      </c>
    </row>
    <row r="27" spans="2:7">
      <c r="B27" s="7">
        <f>SUM(B2:B25)</f>
        <v>80574</v>
      </c>
      <c r="G27" s="7">
        <f>SUM(G2:G21)</f>
        <v>136052990</v>
      </c>
    </row>
    <row r="28" spans="2:7">
      <c r="B28" t="s">
        <v>283</v>
      </c>
      <c r="G28" t="s">
        <v>284</v>
      </c>
    </row>
    <row r="30" spans="2:7">
      <c r="G30" s="3">
        <f>G27/E2</f>
        <v>314210.13856812933</v>
      </c>
    </row>
    <row r="31" spans="2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1"/>
        <v>500000</v>
      </c>
      <c r="D8" s="18"/>
      <c r="F8" s="18">
        <f t="shared" si="2"/>
        <v>0</v>
      </c>
    </row>
    <row r="9" spans="1:21">
      <c r="B9" s="18"/>
      <c r="C9" s="18">
        <f t="shared" si="1"/>
        <v>500000</v>
      </c>
      <c r="D9" s="18"/>
      <c r="F9" s="18">
        <f t="shared" si="2"/>
        <v>0</v>
      </c>
    </row>
    <row r="10" spans="1:21">
      <c r="B10" s="18"/>
      <c r="C10" s="18">
        <f t="shared" si="1"/>
        <v>500000</v>
      </c>
      <c r="D10" s="18"/>
      <c r="F10" s="18">
        <f t="shared" si="2"/>
        <v>0</v>
      </c>
    </row>
    <row r="11" spans="1:21">
      <c r="B11" s="18"/>
      <c r="C11" s="18">
        <f t="shared" si="1"/>
        <v>500000</v>
      </c>
      <c r="D11" s="18"/>
      <c r="F11" s="18"/>
    </row>
    <row r="12" spans="1:21" ht="4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 t="shared" ref="Q74:Q76" si="7">O74*P74</f>
        <v>750</v>
      </c>
    </row>
    <row r="75" spans="15:17">
      <c r="O75">
        <v>45</v>
      </c>
      <c r="P75">
        <v>5.5</v>
      </c>
      <c r="Q75">
        <f t="shared" si="7"/>
        <v>247.5</v>
      </c>
    </row>
    <row r="76" spans="15:17">
      <c r="O76">
        <v>15</v>
      </c>
      <c r="P76">
        <v>10</v>
      </c>
      <c r="Q76">
        <f t="shared" si="7"/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اردیبهشت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2018-04-25T22:21:07Z</dcterms:modified>
</cp:coreProperties>
</file>