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زعفران" sheetId="47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T40" i="47" l="1"/>
  <c r="S41" i="47"/>
  <c r="R41" i="47"/>
  <c r="T41" i="47" s="1"/>
  <c r="V40" i="47" s="1"/>
  <c r="W40" i="47" s="1"/>
  <c r="AD34" i="47"/>
  <c r="D83" i="46"/>
  <c r="G24" i="46"/>
  <c r="H24" i="46"/>
  <c r="D24" i="46"/>
  <c r="I24" i="46" s="1"/>
  <c r="G23" i="46"/>
  <c r="H23" i="46"/>
  <c r="D23" i="46"/>
  <c r="I23" i="46" s="1"/>
  <c r="P33" i="47" l="1"/>
  <c r="P34" i="47"/>
  <c r="P35" i="47"/>
  <c r="P36" i="47"/>
  <c r="P32" i="47"/>
  <c r="O33" i="47"/>
  <c r="O34" i="47"/>
  <c r="O35" i="47"/>
  <c r="O36" i="47"/>
  <c r="O32" i="47"/>
  <c r="L33" i="47"/>
  <c r="L34" i="47"/>
  <c r="L35" i="47"/>
  <c r="L36" i="47"/>
  <c r="L37" i="47"/>
  <c r="O37" i="47" s="1"/>
  <c r="P37" i="47" s="1"/>
  <c r="L32" i="47"/>
  <c r="G3" i="47" l="1"/>
  <c r="J12" i="47" l="1"/>
  <c r="Q60" i="18"/>
  <c r="J3" i="47"/>
  <c r="J4" i="47"/>
  <c r="J5" i="47"/>
  <c r="I6" i="47"/>
  <c r="I3" i="47"/>
  <c r="K3" i="47" s="1"/>
  <c r="I4" i="47"/>
  <c r="I5" i="47"/>
  <c r="I7" i="47"/>
  <c r="I8" i="47"/>
  <c r="I9" i="47"/>
  <c r="I2" i="47"/>
  <c r="J2" i="47" s="1"/>
  <c r="R19" i="47"/>
  <c r="Q19" i="47"/>
  <c r="P19" i="47"/>
  <c r="P21" i="47" s="1"/>
  <c r="W18" i="47"/>
  <c r="S18" i="47"/>
  <c r="U17" i="47"/>
  <c r="S17" i="47"/>
  <c r="S16" i="47"/>
  <c r="S15" i="47"/>
  <c r="S14" i="47"/>
  <c r="S13" i="47"/>
  <c r="S12" i="47"/>
  <c r="S11" i="47"/>
  <c r="S10" i="47"/>
  <c r="S9" i="47"/>
  <c r="S8" i="47"/>
  <c r="S7" i="47"/>
  <c r="S6" i="47"/>
  <c r="S5" i="47"/>
  <c r="S4" i="47"/>
  <c r="R3" i="47"/>
  <c r="S3" i="47" s="1"/>
  <c r="S2" i="47"/>
  <c r="D12" i="47"/>
  <c r="G4" i="47"/>
  <c r="K4" i="47" l="1"/>
  <c r="K2" i="47"/>
  <c r="X17" i="47"/>
  <c r="S19" i="47"/>
  <c r="V17" i="47"/>
  <c r="W17" i="47"/>
  <c r="U16" i="47"/>
  <c r="X16" i="47" s="1"/>
  <c r="N19" i="18"/>
  <c r="V16" i="47" l="1"/>
  <c r="U15" i="47"/>
  <c r="W16" i="47"/>
  <c r="P46" i="18"/>
  <c r="N46" i="18" s="1"/>
  <c r="P45" i="18"/>
  <c r="N45" i="18" s="1"/>
  <c r="P42" i="18"/>
  <c r="N34" i="18"/>
  <c r="N20" i="18"/>
  <c r="Q53" i="18" s="1"/>
  <c r="U14" i="47" l="1"/>
  <c r="V15" i="47"/>
  <c r="X15" i="47"/>
  <c r="Y44" i="18"/>
  <c r="AH74" i="18"/>
  <c r="W14" i="47" l="1"/>
  <c r="V14" i="47"/>
  <c r="U13" i="47"/>
  <c r="X14" i="47"/>
  <c r="N31" i="18"/>
  <c r="N43" i="18"/>
  <c r="N42" i="18"/>
  <c r="U28" i="18"/>
  <c r="X13" i="47" l="1"/>
  <c r="U12" i="47"/>
  <c r="W13" i="47"/>
  <c r="V13" i="47"/>
  <c r="AB37" i="18"/>
  <c r="X12" i="47" l="1"/>
  <c r="U11" i="47"/>
  <c r="V12" i="47"/>
  <c r="W12" i="47"/>
  <c r="N32" i="18"/>
  <c r="AJ73" i="18"/>
  <c r="AJ72" i="18" s="1"/>
  <c r="AJ71" i="18" s="1"/>
  <c r="AJ70" i="18" s="1"/>
  <c r="AJ69" i="18" s="1"/>
  <c r="V11" i="47" l="1"/>
  <c r="U10" i="47"/>
  <c r="W11" i="47"/>
  <c r="X11" i="47"/>
  <c r="AJ68" i="18"/>
  <c r="AK69" i="18"/>
  <c r="AA40" i="18"/>
  <c r="X10" i="47" l="1"/>
  <c r="U9" i="47"/>
  <c r="V10" i="47"/>
  <c r="W10" i="47"/>
  <c r="AJ67" i="18"/>
  <c r="AK68" i="18"/>
  <c r="AC37" i="18"/>
  <c r="AD37" i="18" s="1"/>
  <c r="Y37" i="18"/>
  <c r="AA37" i="18" s="1"/>
  <c r="Y35" i="18"/>
  <c r="Y32" i="18"/>
  <c r="AA32" i="18" s="1"/>
  <c r="Y31" i="18"/>
  <c r="AA31" i="18" s="1"/>
  <c r="X43" i="18"/>
  <c r="U8" i="47" l="1"/>
  <c r="W9" i="47"/>
  <c r="V9" i="47"/>
  <c r="X9" i="47"/>
  <c r="Z35" i="18"/>
  <c r="Z39" i="18" s="1"/>
  <c r="AJ66" i="18"/>
  <c r="AK67" i="18"/>
  <c r="Q56" i="18"/>
  <c r="U7" i="47" l="1"/>
  <c r="W8" i="47"/>
  <c r="V8" i="47"/>
  <c r="X8" i="47"/>
  <c r="AJ65" i="18"/>
  <c r="AK66" i="18"/>
  <c r="AC15" i="33"/>
  <c r="X7" i="47" l="1"/>
  <c r="W7" i="47"/>
  <c r="V7" i="47"/>
  <c r="U6" i="47"/>
  <c r="AJ64" i="18"/>
  <c r="AK65" i="18"/>
  <c r="W6" i="47" l="1"/>
  <c r="V6" i="47"/>
  <c r="U5" i="47"/>
  <c r="X6" i="47"/>
  <c r="AK64" i="18"/>
  <c r="AJ63" i="18"/>
  <c r="L19" i="18"/>
  <c r="I26" i="46"/>
  <c r="H26" i="46"/>
  <c r="G26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U4" i="47" l="1"/>
  <c r="W5" i="47"/>
  <c r="V5" i="47"/>
  <c r="X5" i="47"/>
  <c r="AJ62" i="18"/>
  <c r="AK63" i="18"/>
  <c r="N2" i="33"/>
  <c r="X4" i="47" l="1"/>
  <c r="U3" i="47"/>
  <c r="W4" i="47"/>
  <c r="V4" i="47"/>
  <c r="AK62" i="18"/>
  <c r="AJ61" i="18"/>
  <c r="D73" i="45"/>
  <c r="V3" i="47" l="1"/>
  <c r="U2" i="47"/>
  <c r="X3" i="47"/>
  <c r="W3" i="47"/>
  <c r="AK61" i="18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X2" i="47" l="1"/>
  <c r="X19" i="47" s="1"/>
  <c r="W2" i="47"/>
  <c r="W19" i="47" s="1"/>
  <c r="V2" i="47"/>
  <c r="V19" i="47" s="1"/>
  <c r="AJ59" i="18"/>
  <c r="AK60" i="18"/>
  <c r="E45" i="14"/>
  <c r="S29" i="18"/>
  <c r="S30" i="18" s="1"/>
  <c r="V26" i="47" l="1"/>
  <c r="AK59" i="18"/>
  <c r="AJ58" i="18"/>
  <c r="U29" i="18"/>
  <c r="E44" i="14"/>
  <c r="W21" i="47" l="1"/>
  <c r="V21" i="47"/>
  <c r="X21" i="47"/>
  <c r="AJ57" i="18"/>
  <c r="AK58" i="18"/>
  <c r="S31" i="18"/>
  <c r="E43" i="14"/>
  <c r="U31" i="18" l="1"/>
  <c r="S32" i="18"/>
  <c r="AJ56" i="18"/>
  <c r="AK57" i="18"/>
  <c r="E42" i="14"/>
  <c r="G42" i="14" s="1"/>
  <c r="U30" i="18"/>
  <c r="S33" i="18" l="1"/>
  <c r="S34" i="18" s="1"/>
  <c r="S35" i="18" s="1"/>
  <c r="U32" i="18"/>
  <c r="AJ55" i="18"/>
  <c r="AK56" i="18"/>
  <c r="E41" i="14"/>
  <c r="G41" i="14" s="1"/>
  <c r="U33" i="18" l="1"/>
  <c r="AK55" i="18"/>
  <c r="AJ54" i="18"/>
  <c r="E40" i="14"/>
  <c r="G40" i="14" s="1"/>
  <c r="N30" i="18"/>
  <c r="Z41" i="18" s="1"/>
  <c r="Q39" i="18" l="1"/>
  <c r="AJ53" i="18"/>
  <c r="AK54" i="18"/>
  <c r="E39" i="14"/>
  <c r="G39" i="14" s="1"/>
  <c r="K204" i="20"/>
  <c r="K205" i="20"/>
  <c r="K206" i="20"/>
  <c r="J204" i="20"/>
  <c r="J205" i="20"/>
  <c r="J206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203" i="20" l="1"/>
  <c r="K203" i="20"/>
  <c r="I203" i="20"/>
  <c r="I201" i="20"/>
  <c r="K202" i="20"/>
  <c r="K201" i="20"/>
  <c r="J202" i="20"/>
  <c r="I202" i="20"/>
  <c r="J201" i="20"/>
  <c r="J200" i="20"/>
  <c r="K200" i="20"/>
  <c r="I200" i="20"/>
  <c r="K199" i="20"/>
  <c r="J199" i="20"/>
  <c r="I199" i="20"/>
  <c r="I198" i="20"/>
  <c r="J198" i="20"/>
  <c r="K198" i="20"/>
  <c r="K197" i="20"/>
  <c r="I197" i="20"/>
  <c r="J197" i="20"/>
  <c r="AJ52" i="18"/>
  <c r="AK53" i="18"/>
  <c r="I196" i="20"/>
  <c r="K196" i="20"/>
  <c r="J196" i="20"/>
  <c r="I195" i="20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51" i="18" l="1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7" i="46" s="1"/>
  <c r="E34" i="14"/>
  <c r="G34" i="14" s="1"/>
  <c r="H2" i="45"/>
  <c r="H25" i="45" s="1"/>
  <c r="G25" i="45"/>
  <c r="B24" i="45"/>
  <c r="B2" i="46" s="1"/>
  <c r="B27" i="46" s="1"/>
  <c r="D2" i="45"/>
  <c r="D24" i="45" s="1"/>
  <c r="S12" i="44"/>
  <c r="R12" i="44"/>
  <c r="Q12" i="44"/>
  <c r="AJ47" i="18" l="1"/>
  <c r="AK48" i="18"/>
  <c r="G2" i="46"/>
  <c r="G28" i="46" s="1"/>
  <c r="D2" i="46"/>
  <c r="D27" i="46" s="1"/>
  <c r="H2" i="46"/>
  <c r="H28" i="46" s="1"/>
  <c r="H30" i="45"/>
  <c r="E33" i="14"/>
  <c r="I2" i="45"/>
  <c r="I25" i="45" s="1"/>
  <c r="I30" i="45" s="1"/>
  <c r="H3" i="44"/>
  <c r="AJ46" i="18" l="1"/>
  <c r="AK47" i="18"/>
  <c r="I2" i="46"/>
  <c r="I28" i="46" s="1"/>
  <c r="I33" i="46" s="1"/>
  <c r="H33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74" i="18" l="1"/>
  <c r="AL74" i="18" s="1"/>
  <c r="AH79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10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2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2" i="18" s="1"/>
  <c r="Q66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N49" i="18" s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0" i="18" s="1"/>
  <c r="L49" i="18" l="1"/>
  <c r="L51" i="18" s="1"/>
  <c r="E33" i="13"/>
  <c r="G34" i="13"/>
  <c r="I97" i="20"/>
  <c r="K97" i="20"/>
  <c r="J97" i="20"/>
  <c r="F108" i="15"/>
  <c r="C20" i="18"/>
  <c r="G20" i="14"/>
  <c r="G21" i="14"/>
  <c r="F2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AH80" i="18" l="1"/>
  <c r="AA39" i="18"/>
  <c r="Z38" i="18"/>
  <c r="AA38" i="18" s="1"/>
  <c r="AB35" i="18"/>
  <c r="AC35" i="18" s="1"/>
  <c r="AD35" i="18" s="1"/>
  <c r="AA35" i="18"/>
  <c r="AH81" i="18" l="1"/>
</calcChain>
</file>

<file path=xl/sharedStrings.xml><?xml version="1.0" encoding="utf-8"?>
<sst xmlns="http://schemas.openxmlformats.org/spreadsheetml/2006/main" count="9004" uniqueCount="4307">
  <si>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</si>
  <si>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</si>
  <si>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</si>
  <si>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</si>
  <si>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</si>
  <si>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</si>
  <si>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</si>
  <si>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</si>
  <si>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</si>
  <si>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</si>
  <si>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</si>
  <si>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</si>
  <si>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</si>
  <si>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</si>
  <si>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</si>
  <si>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</si>
  <si>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</si>
  <si>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</si>
  <si>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</si>
  <si>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</si>
  <si>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</si>
  <si>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</si>
  <si>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</si>
  <si>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</si>
  <si>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</si>
  <si>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</si>
  <si>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</si>
  <si>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</si>
  <si>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</si>
  <si>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</si>
  <si>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</si>
  <si>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</si>
  <si>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</si>
  <si>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</si>
  <si>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</si>
  <si>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</si>
  <si>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</si>
  <si>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</si>
  <si>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</si>
  <si>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</si>
  <si>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</si>
  <si>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</si>
  <si>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</si>
  <si>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</si>
  <si>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</si>
  <si>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</si>
  <si>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</si>
  <si>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</si>
  <si>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</si>
  <si>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</si>
  <si>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</si>
  <si>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</si>
  <si>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</si>
  <si>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</si>
  <si>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</si>
  <si>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</si>
  <si>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</si>
  <si>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</si>
  <si>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</si>
  <si>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</si>
  <si>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</si>
  <si>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</si>
  <si>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</si>
  <si>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</si>
  <si>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</si>
  <si>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</si>
  <si>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</si>
  <si>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</si>
  <si>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</si>
  <si>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</si>
  <si>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</si>
  <si>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</si>
  <si>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</si>
  <si>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</si>
  <si>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</si>
  <si>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</si>
  <si>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</si>
  <si>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</si>
  <si>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</si>
  <si>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</si>
  <si>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</si>
  <si>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</si>
  <si>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</si>
  <si>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</si>
  <si>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</si>
  <si>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</si>
  <si>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</si>
  <si>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</si>
  <si>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</si>
  <si>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</si>
  <si>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</si>
  <si>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</si>
  <si>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</si>
  <si>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</si>
  <si>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</si>
  <si>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</si>
  <si>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</si>
  <si>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</si>
  <si>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</si>
  <si>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</si>
  <si>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</si>
  <si>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</si>
  <si>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</si>
  <si>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</si>
  <si>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</si>
  <si>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</si>
  <si>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</si>
  <si>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</si>
  <si>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</si>
  <si>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</si>
  <si>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</si>
  <si>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</si>
  <si>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</si>
  <si>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</si>
  <si>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</si>
  <si>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</si>
  <si>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</si>
  <si>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</si>
  <si>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</si>
  <si>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</si>
  <si>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</si>
  <si>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</si>
  <si>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</si>
  <si>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</si>
  <si>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</si>
  <si>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</si>
  <si>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</si>
  <si>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</si>
  <si>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</si>
  <si>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</si>
  <si>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</si>
  <si>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</si>
  <si>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</si>
  <si>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</si>
  <si>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</si>
  <si>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</si>
  <si>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</si>
  <si>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</si>
  <si>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</si>
  <si>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</si>
  <si>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</si>
  <si>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</si>
  <si>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</si>
  <si>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</si>
  <si>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</si>
  <si>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</si>
  <si>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</si>
  <si>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</si>
  <si>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</si>
  <si>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</si>
  <si>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</si>
  <si>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</si>
  <si>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</si>
  <si>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</si>
  <si>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</si>
  <si>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</si>
  <si>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</si>
  <si>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</si>
  <si>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</si>
  <si>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</si>
  <si>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</si>
  <si>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</si>
  <si>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</si>
  <si>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</si>
  <si>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</si>
  <si>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</si>
  <si>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</si>
  <si>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</si>
  <si>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</si>
  <si>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</si>
  <si>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</si>
  <si>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</si>
  <si>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</si>
  <si>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</si>
  <si>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</si>
  <si>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</si>
  <si>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</si>
  <si>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</si>
  <si>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</si>
  <si>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</si>
  <si>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</si>
  <si>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</si>
  <si>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</si>
  <si>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</si>
  <si>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</si>
  <si>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</si>
  <si>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</si>
  <si>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</si>
  <si>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</si>
  <si>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</si>
  <si>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</si>
  <si>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</si>
  <si>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</si>
  <si>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</si>
  <si>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</si>
  <si>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</si>
  <si>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</si>
  <si>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</si>
  <si>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</si>
  <si>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</si>
  <si>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</si>
  <si>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</si>
  <si>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</si>
  <si>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</si>
  <si>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</si>
  <si>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</si>
  <si>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</si>
  <si>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</si>
  <si>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</si>
  <si>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</si>
  <si>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</si>
  <si>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</si>
  <si>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</si>
  <si>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</si>
  <si>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</si>
  <si>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</si>
  <si>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</si>
  <si>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</si>
  <si>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</si>
  <si>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</si>
  <si>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</si>
  <si>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</si>
  <si>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</si>
  <si>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</si>
  <si>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</si>
  <si>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</si>
  <si>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</si>
  <si>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</si>
  <si>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</si>
  <si>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</si>
  <si>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</si>
  <si>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</si>
  <si>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</si>
  <si>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</si>
  <si>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</si>
  <si>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</si>
  <si>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</si>
  <si>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</si>
  <si>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</si>
  <si>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</si>
  <si>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</si>
  <si>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</si>
  <si>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</si>
  <si>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</si>
  <si>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</si>
  <si>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</si>
  <si>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</si>
  <si>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</si>
  <si>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</si>
  <si>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</si>
  <si>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</si>
  <si>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</si>
  <si>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</si>
  <si>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</si>
  <si>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</si>
  <si>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</si>
  <si>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</si>
  <si>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</si>
  <si>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</si>
  <si>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</si>
  <si>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</si>
  <si>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</si>
  <si>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</si>
  <si>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</si>
  <si>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</si>
  <si>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</si>
  <si>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</si>
  <si>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</si>
  <si>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</si>
  <si>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</si>
  <si>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</si>
  <si>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</si>
  <si>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</si>
  <si>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</si>
  <si>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</si>
  <si>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</si>
  <si>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</si>
  <si>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</si>
  <si>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</si>
  <si>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</si>
  <si>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</si>
  <si>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</si>
  <si>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</si>
  <si>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</si>
  <si>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</si>
  <si>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</si>
  <si>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</si>
  <si>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</si>
  <si>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</si>
  <si>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</si>
  <si>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</si>
  <si>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</si>
  <si>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</si>
  <si>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</si>
  <si>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</si>
  <si>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</si>
  <si>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</si>
  <si>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</si>
  <si>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</si>
  <si>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</si>
  <si>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</si>
  <si>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</si>
  <si>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</si>
  <si>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</si>
  <si>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</si>
  <si>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</si>
  <si>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</si>
  <si>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</si>
  <si>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</si>
  <si>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</si>
  <si>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</si>
  <si>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</si>
  <si>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</si>
  <si>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</si>
  <si>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</si>
  <si>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</si>
  <si>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</si>
  <si>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</si>
  <si>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</si>
  <si>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</si>
  <si>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</si>
  <si>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</si>
  <si>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</si>
  <si>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</si>
  <si>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</si>
  <si>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</si>
  <si>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</si>
  <si>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</si>
  <si>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</si>
  <si>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</si>
  <si>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</si>
  <si>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</si>
  <si>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</si>
  <si>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</si>
  <si>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</si>
  <si>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</si>
  <si>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</si>
  <si>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</si>
  <si>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</si>
  <si>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</si>
  <si>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</si>
  <si>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</si>
  <si>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</si>
  <si>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</si>
  <si>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</si>
  <si>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</si>
  <si>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</si>
  <si>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</si>
  <si>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</si>
  <si>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</si>
  <si>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</si>
  <si>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</si>
  <si>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</si>
  <si>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</si>
  <si>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</si>
  <si>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</si>
  <si>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</si>
  <si>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</si>
  <si>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</si>
  <si>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</si>
  <si>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</si>
  <si>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</si>
  <si>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</si>
  <si>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</si>
  <si>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</si>
  <si>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</si>
  <si>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</si>
  <si>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</si>
  <si>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</si>
  <si>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</si>
  <si>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</si>
  <si>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</si>
  <si>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</si>
  <si>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</si>
  <si>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</si>
  <si>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</si>
  <si>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</si>
  <si>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</si>
  <si>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</si>
  <si>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</si>
  <si>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</si>
  <si>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</si>
  <si>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</si>
  <si>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</si>
  <si>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</si>
  <si>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</si>
  <si>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</si>
  <si>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</si>
  <si>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</si>
  <si>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</si>
  <si>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</si>
  <si>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</si>
  <si>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</si>
  <si>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</si>
  <si>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</si>
  <si>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</si>
  <si>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</si>
  <si>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</si>
  <si>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</si>
  <si>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</si>
  <si>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</si>
  <si>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</si>
  <si>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</si>
  <si>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</si>
  <si>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</si>
  <si>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</si>
  <si>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</si>
  <si>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</si>
  <si>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</si>
  <si>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</si>
  <si>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</si>
  <si>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</si>
  <si>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</si>
  <si>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</si>
  <si>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</si>
  <si>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</si>
  <si>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</si>
  <si>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</si>
  <si>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</si>
  <si>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</si>
  <si>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</si>
  <si>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</si>
  <si>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</si>
  <si>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</si>
  <si>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</si>
  <si>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</si>
  <si>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</si>
  <si>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</si>
  <si>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</si>
  <si>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</si>
  <si>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</si>
  <si>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</si>
  <si>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</si>
  <si>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</si>
  <si>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</si>
  <si>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</si>
  <si>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</si>
  <si>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</si>
  <si>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</si>
  <si>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</si>
  <si>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</si>
  <si>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</si>
  <si>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</si>
  <si>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</si>
  <si>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</si>
  <si>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</si>
  <si>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</si>
  <si>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</si>
  <si>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</si>
  <si>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</si>
  <si>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</si>
  <si>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</si>
  <si>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</si>
  <si>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</si>
  <si>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</si>
  <si>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</si>
  <si>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</si>
  <si>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</si>
  <si>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</si>
  <si>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</si>
  <si>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</si>
  <si>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</si>
  <si>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</si>
  <si>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</si>
  <si>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</si>
  <si>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</si>
  <si>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</si>
  <si>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</si>
  <si>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</si>
  <si>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</si>
  <si>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</si>
  <si>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</si>
  <si>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</si>
  <si>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</si>
  <si>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</si>
  <si>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</si>
  <si>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</si>
  <si>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</si>
  <si>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</si>
  <si>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</si>
  <si>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</si>
  <si>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</si>
  <si>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</si>
  <si>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</si>
  <si>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</si>
  <si>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</si>
  <si>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</si>
  <si>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</si>
  <si>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</si>
  <si>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</si>
  <si>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</si>
  <si>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</si>
  <si>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</si>
  <si>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</si>
  <si>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</si>
  <si>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</si>
  <si>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</si>
  <si>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</si>
  <si>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</si>
  <si>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</si>
  <si>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</si>
  <si>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</si>
  <si>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</si>
  <si>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</si>
  <si>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</si>
  <si>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</si>
  <si>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</si>
  <si>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</si>
  <si>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</si>
  <si>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</si>
  <si>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</si>
  <si>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</si>
  <si>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</si>
  <si>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</si>
  <si>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</si>
  <si>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</si>
  <si>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</si>
  <si>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</si>
  <si>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</si>
  <si>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</si>
  <si>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</si>
  <si>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</si>
  <si>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</si>
  <si>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</si>
  <si>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</si>
  <si>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</si>
  <si>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</si>
  <si>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</si>
  <si>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</si>
  <si>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</si>
  <si>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</si>
  <si>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</si>
  <si>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</si>
  <si>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</si>
  <si>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</si>
  <si>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</si>
  <si>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</si>
  <si>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</si>
  <si>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</si>
  <si>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</si>
  <si>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</si>
  <si>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</si>
  <si>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</si>
  <si>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</si>
  <si>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</si>
  <si>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</si>
  <si>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</si>
  <si>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</si>
  <si>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</si>
  <si>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</si>
  <si>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</si>
  <si>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</si>
  <si>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</si>
  <si>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</si>
  <si>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</si>
  <si>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</si>
  <si>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</si>
  <si>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</si>
  <si>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</si>
  <si>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</si>
  <si>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</si>
  <si>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</si>
  <si>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</si>
  <si>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</si>
  <si>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</si>
  <si>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</si>
  <si>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</si>
  <si>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</si>
  <si>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</si>
  <si>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</si>
  <si>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</si>
  <si>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</si>
  <si>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</si>
  <si>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</si>
  <si>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</si>
  <si>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</si>
  <si>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</si>
  <si>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</si>
  <si>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</si>
  <si>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</si>
  <si>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</si>
  <si>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</si>
  <si>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</si>
  <si>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</si>
  <si>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</si>
  <si>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</si>
  <si>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</si>
  <si>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</si>
  <si>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</si>
  <si>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</si>
  <si>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</si>
  <si>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</si>
  <si>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</si>
  <si>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</si>
  <si>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</si>
  <si>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</si>
  <si>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</si>
  <si>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</si>
  <si>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</si>
  <si>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</si>
  <si>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</si>
  <si>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</si>
  <si>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</si>
  <si>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</si>
  <si>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</si>
  <si>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</si>
  <si>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</si>
  <si>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</si>
  <si>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</si>
  <si>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</si>
  <si>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</si>
  <si>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</si>
  <si>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</si>
  <si>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</si>
  <si>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</si>
  <si>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</si>
  <si>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</si>
  <si>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</si>
  <si>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</si>
  <si>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</si>
  <si>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</si>
  <si>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</si>
  <si>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</si>
  <si>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</si>
  <si>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</si>
  <si>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</si>
  <si>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</si>
  <si>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</si>
  <si>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</si>
  <si>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</si>
  <si>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</si>
  <si>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</si>
  <si>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</si>
  <si>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</si>
  <si>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</si>
  <si>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</si>
  <si>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</si>
  <si>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</si>
  <si>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</si>
  <si>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</si>
  <si>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</si>
  <si>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</si>
  <si>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</si>
  <si>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</si>
  <si>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</si>
  <si>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</si>
  <si>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</si>
  <si>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</si>
  <si>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</si>
  <si>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</si>
  <si>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</si>
  <si>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</si>
  <si>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</si>
  <si>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</si>
  <si>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</si>
  <si>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</si>
  <si>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</si>
  <si>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</si>
  <si>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</si>
  <si>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</si>
  <si>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</si>
  <si>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</si>
  <si>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</si>
  <si>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</si>
  <si>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</si>
  <si>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</si>
  <si>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</si>
  <si>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</si>
  <si>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</si>
  <si>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</si>
  <si>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</si>
  <si>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</si>
  <si>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</si>
  <si>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</si>
  <si>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</si>
  <si>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</si>
  <si>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</si>
  <si>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</si>
  <si>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</si>
  <si>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</si>
  <si>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</si>
  <si>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</si>
  <si>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</si>
  <si>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</si>
  <si>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</si>
  <si>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</si>
  <si>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</si>
  <si>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</si>
  <si>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</si>
  <si>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</si>
  <si>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</si>
  <si>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</si>
  <si>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</si>
  <si>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</si>
  <si>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</si>
  <si>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</si>
  <si>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</si>
  <si>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</si>
  <si>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</si>
  <si>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</si>
  <si>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</si>
  <si>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</si>
  <si>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</si>
  <si>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</si>
  <si>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</si>
  <si>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</si>
  <si>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</si>
  <si>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</si>
  <si>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</si>
  <si>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</si>
  <si>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</si>
  <si>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</si>
  <si>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</si>
  <si>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</si>
  <si>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</si>
  <si>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</si>
  <si>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</si>
  <si>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</si>
  <si>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</si>
  <si>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</si>
  <si>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</si>
  <si>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</si>
  <si>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</si>
  <si>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</si>
  <si>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</si>
  <si>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</si>
  <si>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</si>
  <si>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</si>
  <si>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</si>
  <si>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</si>
  <si>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</si>
  <si>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</si>
  <si>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</si>
  <si>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</si>
  <si>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</si>
  <si>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</si>
  <si>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</si>
  <si>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</si>
  <si>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</si>
  <si>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</si>
  <si>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</si>
  <si>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</si>
  <si>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</si>
  <si>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</si>
  <si>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</si>
  <si>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</si>
  <si>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</si>
  <si>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</si>
  <si>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</si>
  <si>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</si>
  <si>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</si>
  <si>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</si>
  <si>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</si>
  <si>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</si>
  <si>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</si>
  <si>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</si>
  <si>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</si>
  <si>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</si>
  <si>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</si>
  <si>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</si>
  <si>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</si>
  <si>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</si>
  <si>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</si>
  <si>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</si>
  <si>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</si>
  <si>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</si>
  <si>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</si>
  <si>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</si>
  <si>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</si>
  <si>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</si>
  <si>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</si>
  <si>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</si>
  <si>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</si>
  <si>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</si>
  <si>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</si>
  <si>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</si>
  <si>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</si>
  <si>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</si>
  <si>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</si>
  <si>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</si>
  <si>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</si>
  <si>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</si>
  <si>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</si>
  <si>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</si>
  <si>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</si>
  <si>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</si>
  <si>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</si>
  <si>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</si>
  <si>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</si>
  <si>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</si>
  <si>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</si>
  <si>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</si>
  <si>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</si>
  <si>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</si>
  <si>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</si>
  <si>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</si>
  <si>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</si>
  <si>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</si>
  <si>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</si>
  <si>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</si>
  <si>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</si>
  <si>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</si>
  <si>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</si>
  <si>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</si>
  <si>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</si>
  <si>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</si>
  <si>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</si>
  <si>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</si>
  <si>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</si>
  <si>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</si>
  <si>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</si>
  <si>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</si>
  <si>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</si>
  <si>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</si>
  <si>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</si>
  <si>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</si>
  <si>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</si>
  <si>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</si>
  <si>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</si>
  <si>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</si>
  <si>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</si>
  <si>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</si>
  <si>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</si>
  <si>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</si>
  <si>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</si>
  <si>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</si>
  <si>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</si>
  <si>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</si>
  <si>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</si>
  <si>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</si>
  <si>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</si>
  <si>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</si>
  <si>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</si>
  <si>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</si>
  <si>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</si>
  <si>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</si>
  <si>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</si>
  <si>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</si>
  <si>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</si>
  <si>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</si>
  <si>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</si>
  <si>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</si>
  <si>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</si>
  <si>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</si>
  <si>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</si>
  <si>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</si>
  <si>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</si>
  <si>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</si>
  <si>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</si>
  <si>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</si>
  <si>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</si>
  <si>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</si>
  <si>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</si>
  <si>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</si>
  <si>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</si>
  <si>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</si>
  <si>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</si>
  <si>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</si>
  <si>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</si>
  <si>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</si>
  <si>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</si>
  <si>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</si>
  <si>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</si>
  <si>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</si>
  <si>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</si>
  <si>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</si>
  <si>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</si>
  <si>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</si>
  <si>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</si>
  <si>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</si>
  <si>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</si>
  <si>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</si>
  <si>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</si>
  <si>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</si>
  <si>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</si>
  <si>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</si>
  <si>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</si>
  <si>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</si>
  <si>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</si>
  <si>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</si>
  <si>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</si>
  <si>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</si>
  <si>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</si>
  <si>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</si>
  <si>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</si>
  <si>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</si>
  <si>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</si>
  <si>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</si>
  <si>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</si>
  <si>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</si>
  <si>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</si>
  <si>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</si>
  <si>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</si>
  <si>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</si>
  <si>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</si>
  <si>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</si>
  <si>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</si>
  <si>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</si>
  <si>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</si>
  <si>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</si>
  <si>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</si>
  <si>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</si>
  <si>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</si>
  <si>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</si>
  <si>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</si>
  <si>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</si>
  <si>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</si>
  <si>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</si>
  <si>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</si>
  <si>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</si>
  <si>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</si>
  <si>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</si>
  <si>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</si>
  <si>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</si>
  <si>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</si>
  <si>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</si>
  <si>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</si>
  <si>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</si>
  <si>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</si>
  <si>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</si>
  <si>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</si>
  <si>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</si>
  <si>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</si>
  <si>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</si>
  <si>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</si>
  <si>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</si>
  <si>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</si>
  <si>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</si>
  <si>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</si>
  <si>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</si>
  <si>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</si>
  <si>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</si>
  <si>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</si>
  <si>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</si>
  <si>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</si>
  <si>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</si>
  <si>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</si>
  <si>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</si>
  <si>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</si>
  <si>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</si>
  <si>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</si>
  <si>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</si>
  <si>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</si>
  <si>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</si>
  <si>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</si>
  <si>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</si>
  <si>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</si>
  <si>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</si>
  <si>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</si>
  <si>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</si>
  <si>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</si>
  <si>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</si>
  <si>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</si>
  <si>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</si>
  <si>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</si>
  <si>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</si>
  <si>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</si>
  <si>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</si>
  <si>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</si>
  <si>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</si>
  <si>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</si>
  <si>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</si>
  <si>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</si>
  <si>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</si>
  <si>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</si>
  <si>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</si>
  <si>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</si>
  <si>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</si>
  <si>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</si>
  <si>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</si>
  <si>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</si>
  <si>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</si>
  <si>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</si>
  <si>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</si>
  <si>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</si>
  <si>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</si>
  <si>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</si>
  <si>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</si>
  <si>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</si>
  <si>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</si>
  <si>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</si>
  <si>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</si>
  <si>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</si>
  <si>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</si>
  <si>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</si>
  <si>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</si>
  <si>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</si>
  <si>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</si>
  <si>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</si>
  <si>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</si>
  <si>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</si>
  <si>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</si>
  <si>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</si>
  <si>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</si>
  <si>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</si>
  <si>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</si>
  <si>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</si>
  <si>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</si>
  <si>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</si>
  <si>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</si>
  <si>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</si>
  <si>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</si>
  <si>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</si>
  <si>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</si>
  <si>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</si>
  <si>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</si>
  <si>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</si>
  <si>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</si>
  <si>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</si>
  <si>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</si>
  <si>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</si>
  <si>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</si>
  <si>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</si>
  <si>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</si>
  <si>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</si>
  <si>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</si>
  <si>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</si>
  <si>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</si>
  <si>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</si>
  <si>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</si>
  <si>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</si>
  <si>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</si>
  <si>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</si>
  <si>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</si>
  <si>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</si>
  <si>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</si>
  <si>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</si>
  <si>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</si>
  <si>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</si>
  <si>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</si>
  <si>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</si>
  <si>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</si>
  <si>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</si>
  <si>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</si>
  <si>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</si>
  <si>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</si>
  <si>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</si>
  <si>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</si>
  <si>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</si>
  <si>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</si>
  <si>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</si>
  <si>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</si>
  <si>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</si>
  <si>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</si>
  <si>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</si>
  <si>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</si>
  <si>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</si>
  <si>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</si>
  <si>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</si>
  <si>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</si>
  <si>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</si>
  <si>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</si>
  <si>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</si>
  <si>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</si>
  <si>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</si>
  <si>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</si>
  <si>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</si>
  <si>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</si>
  <si>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</si>
  <si>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</si>
  <si>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</si>
  <si>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</si>
  <si>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</si>
  <si>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</si>
  <si>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</si>
  <si>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</si>
  <si>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</si>
  <si>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</si>
  <si>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</si>
  <si>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</si>
  <si>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</si>
  <si>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</si>
  <si>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</si>
  <si>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</si>
  <si>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</si>
  <si>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</si>
  <si>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</si>
  <si>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</si>
  <si>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</si>
  <si>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</si>
  <si>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</si>
  <si>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</si>
  <si>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</si>
  <si>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</si>
  <si>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</si>
  <si>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</si>
  <si>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</si>
  <si>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</si>
  <si>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</si>
  <si>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</si>
  <si>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</si>
  <si>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</si>
  <si>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</si>
  <si>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</si>
  <si>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</si>
  <si>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</si>
  <si>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</si>
  <si>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</si>
  <si>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</si>
  <si>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</si>
  <si>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</si>
  <si>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</si>
  <si>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</si>
  <si>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</si>
  <si>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</si>
  <si>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</si>
  <si>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</si>
  <si>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</si>
  <si>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</si>
  <si>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</si>
  <si>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</si>
  <si>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</si>
  <si>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</si>
  <si>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</si>
  <si>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</si>
  <si>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</si>
  <si>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</si>
  <si>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</si>
  <si>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</si>
  <si>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</si>
  <si>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</si>
  <si>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</si>
  <si>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</si>
  <si>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</si>
  <si>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</si>
  <si>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</si>
  <si>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</si>
  <si>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</si>
  <si>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</si>
  <si>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</si>
  <si>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</si>
  <si>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</si>
  <si>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</si>
  <si>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</si>
  <si>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</si>
  <si>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</si>
  <si>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</si>
  <si>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</si>
  <si>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</si>
  <si>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</si>
  <si>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</si>
  <si>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</si>
  <si>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</si>
  <si>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</si>
  <si>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</si>
  <si>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</si>
  <si>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</si>
  <si>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</si>
  <si>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</si>
  <si>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</si>
  <si>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</si>
  <si>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</si>
  <si>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</si>
  <si>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</si>
  <si>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</si>
  <si>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</si>
  <si>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</si>
  <si>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</si>
  <si>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</si>
  <si>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</si>
  <si>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</si>
  <si>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</si>
  <si>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</si>
  <si>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</si>
  <si>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</si>
  <si>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</si>
  <si>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</si>
  <si>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</si>
  <si>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</si>
  <si>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</si>
  <si>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</si>
  <si>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</si>
  <si>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</si>
  <si>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</si>
  <si>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</si>
  <si>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</si>
  <si>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</si>
  <si>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</si>
  <si>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</si>
  <si>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</si>
  <si>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</si>
  <si>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</si>
  <si>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</si>
  <si>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</si>
  <si>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</si>
  <si>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</si>
  <si>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</si>
  <si>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</si>
  <si>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</si>
  <si>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</si>
  <si>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</si>
  <si>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</si>
  <si>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</si>
  <si>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</si>
  <si>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</si>
  <si>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</si>
  <si>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</si>
  <si>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</si>
  <si>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</si>
  <si>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</si>
  <si>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</si>
  <si>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</si>
  <si>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</si>
  <si>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</si>
  <si>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</si>
  <si>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</si>
  <si>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</si>
  <si>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</si>
  <si>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</si>
  <si>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</si>
  <si>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</si>
  <si>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</si>
  <si>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</si>
  <si>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</si>
  <si>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</si>
  <si>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</si>
  <si>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</si>
  <si>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</si>
  <si>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</si>
  <si>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</si>
  <si>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</si>
  <si>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</si>
  <si>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</si>
  <si>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</si>
  <si>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</si>
  <si>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</si>
  <si>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</si>
  <si>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</si>
  <si>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</si>
  <si>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</si>
  <si>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</si>
  <si>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</si>
  <si>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</si>
  <si>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</si>
  <si>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</si>
  <si>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</si>
  <si>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</si>
  <si>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</si>
  <si>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</si>
  <si>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</si>
  <si>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</si>
  <si>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</si>
  <si>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</si>
  <si>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</si>
  <si>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</si>
  <si>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</si>
  <si>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</si>
  <si>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</si>
  <si>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</si>
  <si>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</si>
  <si>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</si>
  <si>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</si>
  <si>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</si>
  <si>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</si>
  <si>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</si>
  <si>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</si>
  <si>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</si>
  <si>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</si>
  <si>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</si>
  <si>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</si>
  <si>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</si>
  <si>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</si>
  <si>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</si>
  <si>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</si>
  <si>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</si>
  <si>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</si>
  <si>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</si>
  <si>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</si>
  <si>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</si>
  <si>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</si>
  <si>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</si>
  <si>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</si>
  <si>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</si>
  <si>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</si>
  <si>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</si>
  <si>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</si>
  <si>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</si>
  <si>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</si>
  <si>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</si>
  <si>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</si>
  <si>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</si>
  <si>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</si>
  <si>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</si>
  <si>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</si>
  <si>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</si>
  <si>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</si>
  <si>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</si>
  <si>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</si>
  <si>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</si>
  <si>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</si>
  <si>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</si>
  <si>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</si>
  <si>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</si>
  <si>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</si>
  <si>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</si>
  <si>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</si>
  <si>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</si>
  <si>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</si>
  <si>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</si>
  <si>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</si>
  <si>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</si>
  <si>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</si>
  <si>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</si>
  <si>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</si>
  <si>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</si>
  <si>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</si>
  <si>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</si>
  <si>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</si>
  <si>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</si>
  <si>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</si>
  <si>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</si>
  <si>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</si>
  <si>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</si>
  <si>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</si>
  <si>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</si>
  <si>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</si>
  <si>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</si>
  <si>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</si>
  <si>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</si>
  <si>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</si>
  <si>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</si>
  <si>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</si>
  <si>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</si>
  <si>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</si>
  <si>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</si>
  <si>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</si>
  <si>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</si>
  <si>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</si>
  <si>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</si>
  <si>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</si>
  <si>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</si>
  <si>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</si>
  <si>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</si>
  <si>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</si>
  <si>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</si>
  <si>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</si>
  <si>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</si>
  <si>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</si>
  <si>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</si>
  <si>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</si>
  <si>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</si>
  <si>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</si>
  <si>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</si>
  <si>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</si>
  <si>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</si>
  <si>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</si>
  <si>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</si>
  <si>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</si>
  <si>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</si>
  <si>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</si>
  <si>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</si>
  <si>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</si>
  <si>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</si>
  <si>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</si>
  <si>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</si>
  <si>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</si>
  <si>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</si>
  <si>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</si>
  <si>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</si>
  <si>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</si>
  <si>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</si>
  <si>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</si>
  <si>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</si>
  <si>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</si>
  <si>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</si>
  <si>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</si>
  <si>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</si>
  <si>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</si>
  <si>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</si>
  <si>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</si>
  <si>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</si>
  <si>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</si>
  <si>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</si>
  <si>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</si>
  <si>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</si>
  <si>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</si>
  <si>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</si>
  <si>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</si>
  <si>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</si>
  <si>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</si>
  <si>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</si>
  <si>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</si>
  <si>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</si>
  <si>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</si>
  <si>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</si>
  <si>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</si>
  <si>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</si>
  <si>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</si>
  <si>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</si>
  <si>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</si>
  <si>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</si>
  <si>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</si>
  <si>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</si>
  <si>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</si>
  <si>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</si>
  <si>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</si>
  <si>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</si>
  <si>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</si>
  <si>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</si>
  <si>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</si>
  <si>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</si>
  <si>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</si>
  <si>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</si>
  <si>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</si>
  <si>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</si>
  <si>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</si>
  <si>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</si>
  <si>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</si>
  <si>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</si>
  <si>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</si>
  <si>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</si>
  <si>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</si>
  <si>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</si>
  <si>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</si>
  <si>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</si>
  <si>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</si>
  <si>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</si>
  <si>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</si>
  <si>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</si>
  <si>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</si>
  <si>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</si>
  <si>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</si>
  <si>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</si>
  <si>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</si>
  <si>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</si>
  <si>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</si>
  <si>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</si>
  <si>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</si>
  <si>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</si>
  <si>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</si>
  <si>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</si>
  <si>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</si>
  <si>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</si>
  <si>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</si>
  <si>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</si>
  <si>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</si>
  <si>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</si>
  <si>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</si>
  <si>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</si>
  <si>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</si>
  <si>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</si>
  <si>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</si>
  <si>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</si>
  <si>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</si>
  <si>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</si>
  <si>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</si>
  <si>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</si>
  <si>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</si>
  <si>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</si>
  <si>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</si>
  <si>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</si>
  <si>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</si>
  <si>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</si>
  <si>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</si>
  <si>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</si>
  <si>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</si>
  <si>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</si>
  <si>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</si>
  <si>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</si>
  <si>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</si>
  <si>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</si>
  <si>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</si>
  <si>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</si>
  <si>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</si>
  <si>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</si>
  <si>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</si>
  <si>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</si>
  <si>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</si>
  <si>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</si>
  <si>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</si>
  <si>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</si>
  <si>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</si>
  <si>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</si>
  <si>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</si>
  <si>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</si>
  <si>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</si>
  <si>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</si>
  <si>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</si>
  <si>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</si>
  <si>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</si>
  <si>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</si>
  <si>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</si>
  <si>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</si>
  <si>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</si>
  <si>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</si>
  <si>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</si>
  <si>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</si>
  <si>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</si>
  <si>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</si>
  <si>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</si>
  <si>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</si>
  <si>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</si>
  <si>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</si>
  <si>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</si>
  <si>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</si>
  <si>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</si>
  <si>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</si>
  <si>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</si>
  <si>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</si>
  <si>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</si>
  <si>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</si>
  <si>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</si>
  <si>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</si>
  <si>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</si>
  <si>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</si>
  <si>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</si>
  <si>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</si>
  <si>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</si>
  <si>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</si>
  <si>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</si>
  <si>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</si>
  <si>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</si>
  <si>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</si>
  <si>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</si>
  <si>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</si>
  <si>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</si>
  <si>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</si>
  <si>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</si>
  <si>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</si>
  <si>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</si>
  <si>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</si>
  <si>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</si>
  <si>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</si>
  <si>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</si>
  <si>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</si>
  <si>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</si>
  <si>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</si>
  <si>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</si>
  <si>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</si>
  <si>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</si>
  <si>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</si>
  <si>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</si>
  <si>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</si>
  <si>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</si>
  <si>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</si>
  <si>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</si>
  <si>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</si>
  <si>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</si>
  <si>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</si>
  <si>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</si>
  <si>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</si>
  <si>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</si>
  <si>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</si>
  <si>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</si>
  <si>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</si>
  <si>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</si>
  <si>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</si>
  <si>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</si>
  <si>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</si>
  <si>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</si>
  <si>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</si>
  <si>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</si>
  <si>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</si>
  <si>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</si>
  <si>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</si>
  <si>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</si>
  <si>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</si>
  <si>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</si>
  <si>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</si>
  <si>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</si>
  <si>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</si>
  <si>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</si>
  <si>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</si>
  <si>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</si>
  <si>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</si>
  <si>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</si>
  <si>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</si>
  <si>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</si>
  <si>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</si>
  <si>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</si>
  <si>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</si>
  <si>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</si>
  <si>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</si>
  <si>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</si>
  <si>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</si>
  <si>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</si>
  <si>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</si>
  <si>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</si>
  <si>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</si>
  <si>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</si>
  <si>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</si>
  <si>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</si>
  <si>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</si>
  <si>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</si>
  <si>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</si>
  <si>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</si>
  <si>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</si>
  <si>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</si>
  <si>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</si>
  <si>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</si>
  <si>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</si>
  <si>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</si>
  <si>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</si>
  <si>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</si>
  <si>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</si>
  <si>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</si>
  <si>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</si>
  <si>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</si>
  <si>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</si>
  <si>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</si>
  <si>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</si>
  <si>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</si>
  <si>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</si>
  <si>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</si>
  <si>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</si>
  <si>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</si>
  <si>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</si>
  <si>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</si>
  <si>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</si>
  <si>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</si>
  <si>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</si>
  <si>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</si>
  <si>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</si>
  <si>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</si>
  <si>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</si>
  <si>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</si>
  <si>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</si>
  <si>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</si>
  <si>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</si>
  <si>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</si>
  <si>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</si>
  <si>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</si>
  <si>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</si>
  <si>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</si>
  <si>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</si>
  <si>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</si>
  <si>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</si>
  <si>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</si>
  <si>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</si>
  <si>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</si>
  <si>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</si>
  <si>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</si>
  <si>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</si>
  <si>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</si>
  <si>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</si>
  <si>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</si>
  <si>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</si>
  <si>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</si>
  <si>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</si>
  <si>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</si>
  <si>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</si>
  <si>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</si>
  <si>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</si>
  <si>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</si>
  <si>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</si>
  <si>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</si>
  <si>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</si>
  <si>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</si>
  <si>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</si>
  <si>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</si>
  <si>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</si>
  <si>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</si>
  <si>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</si>
  <si>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</si>
  <si>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</si>
  <si>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</si>
  <si>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</si>
  <si>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</si>
  <si>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</si>
  <si>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</si>
  <si>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</si>
  <si>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</si>
  <si>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</si>
  <si>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</si>
  <si>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</si>
  <si>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</si>
  <si>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</si>
  <si>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</si>
  <si>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</si>
  <si>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</si>
  <si>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</si>
  <si>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</si>
  <si>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</si>
  <si>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</si>
  <si>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</si>
  <si>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</si>
  <si>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</si>
  <si>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</si>
  <si>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</si>
  <si>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</si>
  <si>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</si>
  <si>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</si>
  <si>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</si>
  <si>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</si>
  <si>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</si>
  <si>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</si>
  <si>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</si>
  <si>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</si>
  <si>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</si>
  <si>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</si>
  <si>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</si>
  <si>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</si>
  <si>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</si>
  <si>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</si>
  <si>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</si>
  <si>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</si>
  <si>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</si>
  <si>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</si>
  <si>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</si>
  <si>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</si>
  <si>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</si>
  <si>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</si>
  <si>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</si>
  <si>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</si>
  <si>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</si>
  <si>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</si>
  <si>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</si>
  <si>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</si>
  <si>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</si>
  <si>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</si>
  <si>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</si>
  <si>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</si>
  <si>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</si>
  <si>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</si>
  <si>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</si>
  <si>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</si>
  <si>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</si>
  <si>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</si>
  <si>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</si>
  <si>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</si>
  <si>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</si>
  <si>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</si>
  <si>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</si>
  <si>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</si>
  <si>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</si>
  <si>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</si>
  <si>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</si>
  <si>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</si>
  <si>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</si>
  <si>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</si>
  <si>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</si>
  <si>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</si>
  <si>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</si>
  <si>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</si>
  <si>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</si>
  <si>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</si>
  <si>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</si>
  <si>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</si>
  <si>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</si>
  <si>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</si>
  <si>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</si>
  <si>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</si>
  <si>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</si>
  <si>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</si>
  <si>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</si>
  <si>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</si>
  <si>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</si>
  <si>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</si>
  <si>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</si>
  <si>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</si>
  <si>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</si>
  <si>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</si>
  <si>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</si>
  <si>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</si>
  <si>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</si>
  <si>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</si>
  <si>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</si>
  <si>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</si>
  <si>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</si>
  <si>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</si>
  <si>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</si>
  <si>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</si>
  <si>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</si>
  <si>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</si>
  <si>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</si>
  <si>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</si>
  <si>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</si>
  <si>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</si>
  <si>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</si>
  <si>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</si>
  <si>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</si>
  <si>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</si>
  <si>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</si>
  <si>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</si>
  <si>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</si>
  <si>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</si>
  <si>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</si>
  <si>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</si>
  <si>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</si>
  <si>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</si>
  <si>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</si>
  <si>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</si>
  <si>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</si>
  <si>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</si>
  <si>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</si>
  <si>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</si>
  <si>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</si>
  <si>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</si>
  <si>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</si>
  <si>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</si>
  <si>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</si>
  <si>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</si>
  <si>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</si>
  <si>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</si>
  <si>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</si>
  <si>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</si>
  <si>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</si>
  <si>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</si>
  <si>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</si>
  <si>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</si>
  <si>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</si>
  <si>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</si>
  <si>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</si>
  <si>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</si>
  <si>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</si>
  <si>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</si>
  <si>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</si>
  <si>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</si>
  <si>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</si>
  <si>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</si>
  <si>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</si>
  <si>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</si>
  <si>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</si>
  <si>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</si>
  <si>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</si>
  <si>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</si>
  <si>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</si>
  <si>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</si>
  <si>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</si>
  <si>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</si>
  <si>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</si>
  <si>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</si>
  <si>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</si>
  <si>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</si>
  <si>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</si>
  <si>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</si>
  <si>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</si>
  <si>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</si>
  <si>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</si>
  <si>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</si>
  <si>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</si>
  <si>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</si>
  <si>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</si>
  <si>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</si>
  <si>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</si>
  <si>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</si>
  <si>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</si>
  <si>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</si>
  <si>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</si>
  <si>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</si>
  <si>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</si>
  <si>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</si>
  <si>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</si>
  <si>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</si>
  <si>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</si>
  <si>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</si>
  <si>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</si>
  <si>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</si>
  <si>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</si>
  <si>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</si>
  <si>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</si>
  <si>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</si>
  <si>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</si>
  <si>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</si>
  <si>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</si>
  <si>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</si>
  <si>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</si>
  <si>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</si>
  <si>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</si>
  <si>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</si>
  <si>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</si>
  <si>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</si>
  <si>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</si>
  <si>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</si>
  <si>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</si>
  <si>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</si>
  <si>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</si>
  <si>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</si>
  <si>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</si>
  <si>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</si>
  <si>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</si>
  <si>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</si>
  <si>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</si>
  <si>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</si>
  <si>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</si>
  <si>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</si>
  <si>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</si>
  <si>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</si>
  <si>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</si>
  <si>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</si>
  <si>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</si>
  <si>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</si>
  <si>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</si>
  <si>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</si>
  <si>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</si>
  <si>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</si>
  <si>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</si>
  <si>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</si>
  <si>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</si>
  <si>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</si>
  <si>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</si>
  <si>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</si>
  <si>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</si>
  <si>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</si>
  <si>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</si>
  <si>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</si>
  <si>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</si>
  <si>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</si>
  <si>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</si>
  <si>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</si>
  <si>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</si>
  <si>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</si>
  <si>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</si>
  <si>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</si>
  <si>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</si>
  <si>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</si>
  <si>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</si>
  <si>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</si>
  <si>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</si>
  <si>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</si>
  <si>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</si>
  <si>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</si>
  <si>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</si>
  <si>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</si>
  <si>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</si>
  <si>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</si>
  <si>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</si>
  <si>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</si>
  <si>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</si>
  <si>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</si>
  <si>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</si>
  <si>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</si>
  <si>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</si>
  <si>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</si>
  <si>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</si>
  <si>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</si>
  <si>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</si>
  <si>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</si>
  <si>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</si>
  <si>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</si>
  <si>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</si>
  <si>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</si>
  <si>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</si>
  <si>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</si>
  <si>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</si>
  <si>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</si>
  <si>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</si>
  <si>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</si>
  <si>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</si>
  <si>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</si>
  <si>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</si>
  <si>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</si>
  <si>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</si>
  <si>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</si>
  <si>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</si>
  <si>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</si>
  <si>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</si>
  <si>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</si>
  <si>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</si>
  <si>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</si>
  <si>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</si>
  <si>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</si>
  <si>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</si>
  <si>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</si>
  <si>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</si>
  <si>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</si>
  <si>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</si>
  <si>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</si>
  <si>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</si>
  <si>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</si>
  <si>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</si>
  <si>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</si>
  <si>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</si>
  <si>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</si>
  <si>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</si>
  <si>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</si>
  <si>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</si>
  <si>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</si>
  <si>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</si>
  <si>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</si>
  <si>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</si>
  <si>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</si>
  <si>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</si>
  <si>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</si>
  <si>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</si>
  <si>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</si>
  <si>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</si>
  <si>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</si>
  <si>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</si>
  <si>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</si>
  <si>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</si>
  <si>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</si>
  <si>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</si>
  <si>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</si>
  <si>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</si>
  <si>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</si>
  <si>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</si>
  <si>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</si>
  <si>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</si>
  <si>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</si>
  <si>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</si>
  <si>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</si>
  <si>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</si>
  <si>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</si>
  <si>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</si>
  <si>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</si>
  <si>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</si>
  <si>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</si>
  <si>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</si>
  <si>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</si>
  <si>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</si>
  <si>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</si>
  <si>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</si>
  <si>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</si>
  <si>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</si>
  <si>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</si>
  <si>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</si>
  <si>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</si>
  <si>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</si>
  <si>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</si>
  <si>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</si>
  <si>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</si>
  <si>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</si>
  <si>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</si>
  <si>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</si>
  <si>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</si>
  <si>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</si>
  <si>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</si>
  <si>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</si>
  <si>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</si>
  <si>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</si>
  <si>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</si>
  <si>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</si>
  <si>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</si>
  <si>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</si>
  <si>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</si>
  <si>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</si>
  <si>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</si>
  <si>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</si>
  <si>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</si>
  <si>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</si>
  <si>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</si>
  <si>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</si>
  <si>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</si>
  <si>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</si>
  <si>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</si>
  <si>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</si>
  <si>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</si>
  <si>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</si>
  <si>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</si>
  <si>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</si>
  <si>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</si>
  <si>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</si>
  <si>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</si>
  <si>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</si>
  <si>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</si>
  <si>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</si>
  <si>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</si>
  <si>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</si>
  <si>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</si>
  <si>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</si>
  <si>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</si>
  <si>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</si>
  <si>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</si>
  <si>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</si>
  <si>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</si>
  <si>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</si>
  <si>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</si>
  <si>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</si>
  <si>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</si>
  <si>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</si>
  <si>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</si>
  <si>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</si>
  <si>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</si>
  <si>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</si>
  <si>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</si>
  <si>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</si>
  <si>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</si>
  <si>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</si>
  <si>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</si>
  <si>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</si>
  <si>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</si>
  <si>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</si>
  <si>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</si>
  <si>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</si>
  <si>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</si>
  <si>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</si>
  <si>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</si>
  <si>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</si>
  <si>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</si>
  <si>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</si>
  <si>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</si>
  <si>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</si>
  <si>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</si>
  <si>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</si>
  <si>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</si>
  <si>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</si>
  <si>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</si>
  <si>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</si>
  <si>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</si>
  <si>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</si>
  <si>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</si>
  <si>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</si>
  <si>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</si>
  <si>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</si>
  <si>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</si>
  <si>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</si>
  <si>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</si>
  <si>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</si>
  <si>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</si>
  <si>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</si>
  <si>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</si>
  <si>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</si>
  <si>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</si>
  <si>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</si>
  <si>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</si>
  <si>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</si>
  <si>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</si>
  <si>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</si>
  <si>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</si>
  <si>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</si>
  <si>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</si>
  <si>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</si>
  <si>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</si>
  <si>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</si>
  <si>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</si>
  <si>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</si>
  <si>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</si>
  <si>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</si>
  <si>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</si>
  <si>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</si>
  <si>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</si>
  <si>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</si>
  <si>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</si>
  <si>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</si>
  <si>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</si>
  <si>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</si>
  <si>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</si>
  <si>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</si>
  <si>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</si>
  <si>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</si>
  <si>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</si>
  <si>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</si>
  <si>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</si>
  <si>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</si>
  <si>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</si>
  <si>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</si>
  <si>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</si>
  <si>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</si>
  <si>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</si>
  <si>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</si>
  <si>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</si>
  <si>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</si>
  <si>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</si>
  <si>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</si>
  <si>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</si>
  <si>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</si>
  <si>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</si>
  <si>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</si>
  <si>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</si>
  <si>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</si>
  <si>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</si>
  <si>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</si>
  <si>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</si>
  <si>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</si>
  <si>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</si>
  <si>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</si>
  <si>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</si>
  <si>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</si>
  <si>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</si>
  <si>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</si>
  <si>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</si>
  <si>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</si>
  <si>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</si>
  <si>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</si>
  <si>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</si>
  <si>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</si>
  <si>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</si>
  <si>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</si>
  <si>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</si>
  <si>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</si>
  <si>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</si>
  <si>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</si>
  <si>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</si>
  <si>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</si>
  <si>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</si>
  <si>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</si>
  <si>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</si>
  <si>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</si>
  <si>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</si>
  <si>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</si>
  <si>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</si>
  <si>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</si>
  <si>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</si>
  <si>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</si>
  <si>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</si>
  <si>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</si>
  <si>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</si>
  <si>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</si>
  <si>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</si>
  <si>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</si>
  <si>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</si>
  <si>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</si>
  <si>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</si>
  <si>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</si>
  <si>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</si>
  <si>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</si>
  <si>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</si>
  <si>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</si>
  <si>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</si>
  <si>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</si>
  <si>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</si>
  <si>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</si>
  <si>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</si>
  <si>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</si>
  <si>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</si>
  <si>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</si>
  <si>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</si>
  <si>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</si>
  <si>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</si>
  <si>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</si>
  <si>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</si>
  <si>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</si>
  <si>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</si>
  <si>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</si>
  <si>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</si>
  <si>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</si>
  <si>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</si>
  <si>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</si>
  <si>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</si>
  <si>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</si>
  <si>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</si>
  <si>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</si>
  <si>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</si>
  <si>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</si>
  <si>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</si>
  <si>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</si>
  <si>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</si>
  <si>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</si>
  <si>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</si>
  <si>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</si>
  <si>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</si>
  <si>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</si>
  <si>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</si>
  <si>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</si>
  <si>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</si>
  <si>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</si>
  <si>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</si>
  <si>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</si>
  <si>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</si>
  <si>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</si>
  <si>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</si>
  <si>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</si>
  <si>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</si>
  <si>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</si>
  <si>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</si>
  <si>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</si>
  <si>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</si>
  <si>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</si>
  <si>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</si>
  <si>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</si>
  <si>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</si>
  <si>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</si>
  <si>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</si>
  <si>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</si>
  <si>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</si>
  <si>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</si>
  <si>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</si>
  <si>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</si>
  <si>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</si>
  <si>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</si>
  <si>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</si>
  <si>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</si>
  <si>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</si>
  <si>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</si>
  <si>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</si>
  <si>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</si>
  <si>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</si>
  <si>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</si>
  <si>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</si>
  <si>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</si>
  <si>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</si>
  <si>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</si>
  <si>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</si>
  <si>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</si>
  <si>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</si>
  <si>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</si>
  <si>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</si>
  <si>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</si>
  <si>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</si>
  <si>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</si>
  <si>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</si>
  <si>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</si>
  <si>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</si>
  <si>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</si>
  <si>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</si>
  <si>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</si>
  <si>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</si>
  <si>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</si>
  <si>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</si>
  <si>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</si>
  <si>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</si>
  <si>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</si>
  <si>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</si>
  <si>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</si>
  <si>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</si>
  <si>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</si>
  <si>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</si>
  <si>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</si>
  <si>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</si>
  <si>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</si>
  <si>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</si>
  <si>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</si>
  <si>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</si>
  <si>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</si>
  <si>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</si>
  <si>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</si>
  <si>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</si>
  <si>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</si>
  <si>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</si>
  <si>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</si>
  <si>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</si>
  <si>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</si>
  <si>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</si>
  <si>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</si>
  <si>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</si>
  <si>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</si>
  <si>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</si>
  <si>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</si>
  <si>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</si>
  <si>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</si>
  <si>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</si>
  <si>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</si>
  <si>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</si>
  <si>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</si>
  <si>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</si>
  <si>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</si>
  <si>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</si>
  <si>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</si>
  <si>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</si>
  <si>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</si>
  <si>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</si>
  <si>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</si>
  <si>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</si>
  <si>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</si>
  <si>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</si>
  <si>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</si>
  <si>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</si>
  <si>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</si>
  <si>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</si>
  <si>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</si>
  <si>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</si>
  <si>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</si>
  <si>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</si>
  <si>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</si>
  <si>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</si>
  <si>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</si>
  <si>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</si>
  <si>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</si>
  <si>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</si>
  <si>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</si>
  <si>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</si>
  <si>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</si>
  <si>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</si>
  <si>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</si>
  <si>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</si>
  <si>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</si>
  <si>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</si>
  <si>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</si>
  <si>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</si>
  <si>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</si>
  <si>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</si>
  <si>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</si>
  <si>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</si>
  <si>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</si>
  <si>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</si>
  <si>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</si>
  <si>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</si>
  <si>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</si>
  <si>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</si>
  <si>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</si>
  <si>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</si>
  <si>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</si>
  <si>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</si>
  <si>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</si>
  <si>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</si>
  <si>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</si>
  <si>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</si>
  <si>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</si>
  <si>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</si>
  <si>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</si>
  <si>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</si>
  <si>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</si>
  <si>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</si>
  <si>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</si>
  <si>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</si>
  <si>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</si>
  <si>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</si>
  <si>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</si>
  <si>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</si>
  <si>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</si>
  <si>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</si>
  <si>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</si>
  <si>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</si>
  <si>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</si>
  <si>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</si>
  <si>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</si>
  <si>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</si>
  <si>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</si>
  <si>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</si>
  <si>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</si>
  <si>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</si>
  <si>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</si>
  <si>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</si>
  <si>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</si>
  <si>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</si>
  <si>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</si>
  <si>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</si>
  <si>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</si>
  <si>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</si>
  <si>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</si>
  <si>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</si>
  <si>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</si>
  <si>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</si>
  <si>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</si>
  <si>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</si>
  <si>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</si>
  <si>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</si>
  <si>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</si>
  <si>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</si>
  <si>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</si>
  <si>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</si>
  <si>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</si>
  <si>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</si>
  <si>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</si>
  <si>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</si>
  <si>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</si>
  <si>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</si>
  <si>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</si>
  <si>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</si>
  <si>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</si>
  <si>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</si>
  <si>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</si>
  <si>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</si>
  <si>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</si>
  <si>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</si>
  <si>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</si>
  <si>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</si>
  <si>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</si>
  <si>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</si>
  <si>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</si>
  <si>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</si>
  <si>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</si>
  <si>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</si>
  <si>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</si>
  <si>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</si>
  <si>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</si>
  <si>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</si>
  <si>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</si>
  <si>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</si>
  <si>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</si>
  <si>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</si>
  <si>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</si>
  <si>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</si>
  <si>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</si>
  <si>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</si>
  <si>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</si>
  <si>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</si>
  <si>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</si>
  <si>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</si>
  <si>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</si>
  <si>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</si>
  <si>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</si>
  <si>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</si>
  <si>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</si>
  <si>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</si>
  <si>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</si>
  <si>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</si>
  <si>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</si>
  <si>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</si>
  <si>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</si>
  <si>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</si>
  <si>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</si>
  <si>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</si>
  <si>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</si>
  <si>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</si>
  <si>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</si>
  <si>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</si>
  <si>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</si>
  <si>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</si>
  <si>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</si>
  <si>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</si>
  <si>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</si>
  <si>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</si>
  <si>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</si>
  <si>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</si>
  <si>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</si>
  <si>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</si>
  <si>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</si>
  <si>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</si>
  <si>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</si>
  <si>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</si>
  <si>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</si>
  <si>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</si>
  <si>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</si>
  <si>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</si>
  <si>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</si>
  <si>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</si>
  <si>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</si>
  <si>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</si>
  <si>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</si>
  <si>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</si>
  <si>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</si>
  <si>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</si>
  <si>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</si>
  <si>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</si>
  <si>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</si>
  <si>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</si>
  <si>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</si>
  <si>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</si>
  <si>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</si>
  <si>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</si>
  <si>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</si>
  <si>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</si>
  <si>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</si>
  <si>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</si>
  <si>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</si>
  <si>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</si>
  <si>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</si>
  <si>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</si>
  <si>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</si>
  <si>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</si>
  <si>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</si>
  <si>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</si>
  <si>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</si>
  <si>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</si>
  <si>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</si>
  <si>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</si>
  <si>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</si>
  <si>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</si>
  <si>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</si>
  <si>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</si>
  <si>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</si>
  <si>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</si>
  <si>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</si>
  <si>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</si>
  <si>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</si>
  <si>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</si>
  <si>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</si>
  <si>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</si>
  <si>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</si>
  <si>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</si>
  <si>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</si>
  <si>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</si>
  <si>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</si>
  <si>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</si>
  <si>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</si>
  <si>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</si>
  <si>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</si>
  <si>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</si>
  <si>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</si>
  <si>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</si>
  <si>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</si>
  <si>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</si>
  <si>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</si>
  <si>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</si>
  <si>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</si>
  <si>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</si>
  <si>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</si>
  <si>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</si>
  <si>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</si>
  <si>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</si>
  <si>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</si>
  <si>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</si>
  <si>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</si>
  <si>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</si>
  <si>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</si>
  <si>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</si>
  <si>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</si>
  <si>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</si>
  <si>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</si>
  <si>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</si>
  <si>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</si>
  <si>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</si>
  <si>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</si>
  <si>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</si>
  <si>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</si>
  <si>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</si>
  <si>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</si>
  <si>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</si>
  <si>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</si>
  <si>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</si>
  <si>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</si>
  <si>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</si>
  <si>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</si>
  <si>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</si>
  <si>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</si>
  <si>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</si>
  <si>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</si>
  <si>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</si>
  <si>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</si>
  <si>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</si>
  <si>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</si>
  <si>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</si>
  <si>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</si>
  <si>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</si>
  <si>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</si>
  <si>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</si>
  <si>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</si>
  <si>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</si>
  <si>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</si>
  <si>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</si>
  <si>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</si>
  <si>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</si>
  <si>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</si>
  <si>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</si>
  <si>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</si>
  <si>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</si>
  <si>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</si>
  <si>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</si>
  <si>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</si>
  <si>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</si>
  <si>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</si>
  <si>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</si>
  <si>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</si>
  <si>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</si>
  <si>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</si>
  <si>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</si>
  <si>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</si>
  <si>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</si>
  <si>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</si>
  <si>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</si>
  <si>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</si>
  <si>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</si>
  <si>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</si>
  <si>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</si>
  <si>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</si>
  <si>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</si>
  <si>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</si>
  <si>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</si>
  <si>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</si>
  <si>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</si>
  <si>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</si>
  <si>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</si>
  <si>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</si>
  <si>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</si>
  <si>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</si>
  <si>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</si>
  <si>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</si>
  <si>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</si>
  <si>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</si>
  <si>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</si>
  <si>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</si>
  <si>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</si>
  <si>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</si>
  <si>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</si>
  <si>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</si>
  <si>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</si>
  <si>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</si>
  <si>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</si>
  <si>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</si>
  <si>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</si>
  <si>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</si>
  <si>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</si>
  <si>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</si>
  <si>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</si>
  <si>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</si>
  <si>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</si>
  <si>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</si>
  <si>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</si>
  <si>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</si>
  <si>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</si>
  <si>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</si>
  <si>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</si>
  <si>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</si>
  <si>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</si>
  <si>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</si>
  <si>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</si>
  <si>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</si>
  <si>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</si>
  <si>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</si>
  <si>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</si>
  <si>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</si>
  <si>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</si>
  <si>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</si>
  <si>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</si>
  <si>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</si>
  <si>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</si>
  <si>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</si>
  <si>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</si>
  <si>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</si>
  <si>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</si>
  <si>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</si>
  <si>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</si>
  <si>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</si>
  <si>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</si>
  <si>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</si>
  <si>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</si>
  <si>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</si>
  <si>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</si>
  <si>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</si>
  <si>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</si>
  <si>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</si>
  <si>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</si>
  <si>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</si>
  <si>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</si>
  <si>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</si>
  <si>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</si>
  <si>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</si>
  <si>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</si>
  <si>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</si>
  <si>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</si>
  <si>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</si>
  <si>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</si>
  <si>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</si>
  <si>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</si>
  <si>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</si>
  <si>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</si>
  <si>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</si>
  <si>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</si>
  <si>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</si>
  <si>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</si>
  <si>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</si>
  <si>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</si>
  <si>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</si>
  <si>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</si>
  <si>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</si>
  <si>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</si>
  <si>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</si>
  <si>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</si>
  <si>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</si>
  <si>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</si>
  <si>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</si>
  <si>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</si>
  <si>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</si>
  <si>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</si>
  <si>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</si>
  <si>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</si>
  <si>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</si>
  <si>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</si>
  <si>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</si>
  <si>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</si>
  <si>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</si>
  <si>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</si>
  <si>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</si>
  <si>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</si>
  <si>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</si>
  <si>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</si>
  <si>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</si>
  <si>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</si>
  <si>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</si>
  <si>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</si>
  <si>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</si>
  <si>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</si>
  <si>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</si>
  <si>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</si>
  <si>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</si>
  <si>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</si>
  <si>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</si>
  <si>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</si>
  <si>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</si>
  <si>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</si>
  <si>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</si>
  <si>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</si>
  <si>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</si>
  <si>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</si>
  <si>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</si>
  <si>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</si>
  <si>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</si>
  <si>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</si>
  <si>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</si>
  <si>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</si>
  <si>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</si>
  <si>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</si>
  <si>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</si>
  <si>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</si>
  <si>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</si>
  <si>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</si>
  <si>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</si>
  <si>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</si>
  <si>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</si>
  <si>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</si>
  <si>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</si>
  <si>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</si>
  <si>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</si>
  <si>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</si>
  <si>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</si>
  <si>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</si>
  <si>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</si>
  <si>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</si>
  <si>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</si>
  <si>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</si>
  <si>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</si>
  <si>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</si>
  <si>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</si>
  <si>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</si>
  <si>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</si>
  <si>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</si>
  <si>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</si>
  <si>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</si>
  <si>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</si>
  <si>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</si>
  <si>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</si>
  <si>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</si>
  <si>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</si>
  <si>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</si>
  <si>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</si>
  <si>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</si>
  <si>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</si>
  <si>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</si>
  <si>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</si>
  <si>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</si>
  <si>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</si>
  <si>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</si>
  <si>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</si>
  <si>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</si>
  <si>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</si>
  <si>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</si>
  <si>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</si>
  <si>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</si>
  <si>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</si>
  <si>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</si>
  <si>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</si>
  <si>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</si>
  <si>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</si>
  <si>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</si>
  <si>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</si>
  <si>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</si>
  <si>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</si>
  <si>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</si>
  <si>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</si>
  <si>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</si>
  <si>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</si>
  <si>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</si>
  <si>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</si>
  <si>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</si>
  <si>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</si>
  <si>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</si>
  <si>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</si>
  <si>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</si>
  <si>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</si>
  <si>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</si>
  <si>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</si>
  <si>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</si>
  <si>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</si>
  <si>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</si>
  <si>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</si>
  <si>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</si>
  <si>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</si>
  <si>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</si>
  <si>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</si>
  <si>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</si>
  <si>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</si>
  <si>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</si>
  <si>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</si>
  <si>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</si>
  <si>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</si>
  <si>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</si>
  <si>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</si>
  <si>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</si>
  <si>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</si>
  <si>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</si>
  <si>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</si>
  <si>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</si>
  <si>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</si>
  <si>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</si>
  <si>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</si>
  <si>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</si>
  <si>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</si>
  <si>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</si>
  <si>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</si>
  <si>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</si>
  <si>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</si>
  <si>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</si>
  <si>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</si>
  <si>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</si>
  <si>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</si>
  <si>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</si>
  <si>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</si>
  <si>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</si>
  <si>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</si>
  <si>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</si>
  <si>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</si>
  <si>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</si>
  <si>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</si>
  <si>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</si>
  <si>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</si>
  <si>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</si>
  <si>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</si>
  <si>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</si>
  <si>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</si>
  <si>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</si>
  <si>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</si>
  <si>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</si>
  <si>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</si>
  <si>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</si>
  <si>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</si>
  <si>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</si>
  <si>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</si>
  <si>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</si>
  <si>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</si>
  <si>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</si>
  <si>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</si>
  <si>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</si>
  <si>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</si>
  <si>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</si>
  <si>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</si>
  <si>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</si>
  <si>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</si>
  <si>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</si>
  <si>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</si>
  <si>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</si>
  <si>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</si>
  <si>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</si>
  <si>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</si>
  <si>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</si>
  <si>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</si>
  <si>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</si>
  <si>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</si>
  <si>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</si>
  <si>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</si>
  <si>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</si>
  <si>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</si>
  <si>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</si>
  <si>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</si>
  <si>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</si>
  <si>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</si>
  <si>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</si>
  <si>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</si>
  <si>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</si>
  <si>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</si>
  <si>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</si>
  <si>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</si>
  <si>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</si>
  <si>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</si>
  <si>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</si>
  <si>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</si>
  <si>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</si>
  <si>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</si>
  <si>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</si>
  <si>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</si>
  <si>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</si>
  <si>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</si>
  <si>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</si>
  <si>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</si>
  <si>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</si>
  <si>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</si>
  <si>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</si>
  <si>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</si>
  <si>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</si>
  <si>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</si>
  <si>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</si>
  <si>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</si>
  <si>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</si>
  <si>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</si>
  <si>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</si>
  <si>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</si>
  <si>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</si>
  <si>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</si>
  <si>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</si>
  <si>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</si>
  <si>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</si>
  <si>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</si>
  <si>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</si>
  <si>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</si>
  <si>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</si>
  <si>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</si>
  <si>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</si>
  <si>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</si>
  <si>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</si>
  <si>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</si>
  <si>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</si>
  <si>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</si>
  <si>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</si>
  <si>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</si>
  <si>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</si>
  <si>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</si>
  <si>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</si>
  <si>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</si>
  <si>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</si>
  <si>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</si>
  <si>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</si>
  <si>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</si>
  <si>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</si>
  <si>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</si>
  <si>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</si>
  <si>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</si>
  <si>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</si>
  <si>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</si>
  <si>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</si>
  <si>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</si>
  <si>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</si>
  <si>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</si>
  <si>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</si>
  <si>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</si>
  <si>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</si>
  <si>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</si>
  <si>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</si>
  <si>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</si>
  <si>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</si>
  <si>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</si>
  <si>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</si>
  <si>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</si>
  <si>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</si>
  <si>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</si>
  <si>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</si>
  <si>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</si>
  <si>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</si>
  <si>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</si>
  <si>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</si>
  <si>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</si>
  <si>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</si>
  <si>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</si>
  <si>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</si>
  <si>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</si>
  <si>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</si>
  <si>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</si>
  <si>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</si>
  <si>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</si>
  <si>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</si>
  <si>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</si>
  <si>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</si>
  <si>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</si>
  <si>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</si>
  <si>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</si>
  <si>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</si>
  <si>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</si>
  <si>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</si>
  <si>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</si>
  <si>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</si>
  <si>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</si>
  <si>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</si>
  <si>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</si>
  <si>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</si>
  <si>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</si>
  <si>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</si>
  <si>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</si>
  <si>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</si>
  <si>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</si>
  <si>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</si>
  <si>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</si>
  <si>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</si>
  <si>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</si>
  <si>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</si>
  <si>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</si>
  <si>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</si>
  <si>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</si>
  <si>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</si>
  <si>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</si>
  <si>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</si>
  <si>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</si>
  <si>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</si>
  <si>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</si>
  <si>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</si>
  <si>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</si>
  <si>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</si>
  <si>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</si>
  <si>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</si>
  <si>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</si>
  <si>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</si>
  <si>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</si>
  <si>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</si>
  <si>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</si>
  <si>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</si>
  <si>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</si>
  <si>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</si>
  <si>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</si>
  <si>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</si>
  <si>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</si>
  <si>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</si>
  <si>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</si>
  <si>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</si>
  <si>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</si>
  <si>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</si>
  <si>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</si>
  <si>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</si>
  <si>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</si>
  <si>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</si>
  <si>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</si>
  <si>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</si>
  <si>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</si>
  <si>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</si>
  <si>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</si>
  <si>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</si>
  <si>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</si>
  <si>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</si>
  <si>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</si>
  <si>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</si>
  <si>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</si>
  <si>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</si>
  <si>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</si>
  <si>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</si>
  <si>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</si>
  <si>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</si>
  <si>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</si>
  <si>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</si>
  <si>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</si>
  <si>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</si>
  <si>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</si>
  <si>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</si>
  <si>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</si>
  <si>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</si>
  <si>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</si>
  <si>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</si>
  <si>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</si>
  <si>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</si>
  <si>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</si>
  <si>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</si>
  <si>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</si>
  <si>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</si>
  <si>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</si>
  <si>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</si>
  <si>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</si>
  <si>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</si>
  <si>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</si>
  <si>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</si>
  <si>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</si>
  <si>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</si>
  <si>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</si>
  <si>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</si>
  <si>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</si>
  <si>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</si>
  <si>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</si>
  <si>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</si>
  <si>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</si>
  <si>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</si>
  <si>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</si>
  <si>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</si>
  <si>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</si>
  <si>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</si>
  <si>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</si>
  <si>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</si>
  <si>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</si>
  <si>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</si>
  <si>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</si>
  <si>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</si>
  <si>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</si>
  <si>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</si>
  <si>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</si>
  <si>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</si>
  <si>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</si>
  <si>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</si>
  <si>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</si>
  <si>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</si>
  <si>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</si>
  <si>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</si>
  <si>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</si>
  <si>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</si>
  <si>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</si>
  <si>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</si>
  <si>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</si>
  <si>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</si>
  <si>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</si>
  <si>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</si>
  <si>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</si>
  <si>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</si>
  <si>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</si>
  <si>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</si>
  <si>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</si>
  <si>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</si>
  <si>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</si>
  <si>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</si>
  <si>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</si>
  <si>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</si>
  <si>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</si>
  <si>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</si>
  <si>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</si>
  <si>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</si>
  <si>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</si>
  <si>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</si>
  <si>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</si>
  <si>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</si>
  <si>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</si>
  <si>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</si>
  <si>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</si>
  <si>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</si>
  <si>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</si>
  <si>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</si>
  <si>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</si>
  <si>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</si>
  <si>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</si>
  <si>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</si>
  <si>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</si>
  <si>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</si>
  <si>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</si>
  <si>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</si>
  <si>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</si>
  <si>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</si>
  <si>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</si>
  <si>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</si>
  <si>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</si>
  <si>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</si>
  <si>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</si>
  <si>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</si>
  <si>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</si>
  <si>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</si>
  <si>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</si>
  <si>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</si>
  <si>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</si>
  <si>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</si>
  <si>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</si>
  <si>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</si>
  <si>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</si>
  <si>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</si>
  <si>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</si>
  <si>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</si>
  <si>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</si>
  <si>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</si>
  <si>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</si>
  <si>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</si>
  <si>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</si>
  <si>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</si>
  <si>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</si>
  <si>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</si>
  <si>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</si>
  <si>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</si>
  <si>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</si>
  <si>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</si>
  <si>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</si>
  <si>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</si>
  <si>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</si>
  <si>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</si>
  <si>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</si>
  <si>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</si>
  <si>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</si>
  <si>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</si>
  <si>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</si>
  <si>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</si>
  <si>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</si>
  <si>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</si>
  <si>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</si>
  <si>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</si>
  <si>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</si>
  <si>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</si>
  <si>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</si>
  <si>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</si>
  <si>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</si>
  <si>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</si>
  <si>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</si>
  <si>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</si>
  <si>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</si>
  <si>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</si>
  <si>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</si>
  <si>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</si>
  <si>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</si>
  <si>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</si>
  <si>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</si>
  <si>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</si>
  <si>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</si>
  <si>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</si>
  <si>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</si>
  <si>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</si>
  <si>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</si>
  <si>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</si>
  <si>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</si>
  <si>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</si>
  <si>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</si>
  <si>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</si>
  <si>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</si>
  <si>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</si>
  <si>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</si>
  <si>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</si>
  <si>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</si>
  <si>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</si>
  <si>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</si>
  <si>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</si>
  <si>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</si>
  <si>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</si>
  <si>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</si>
  <si>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</si>
  <si>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</si>
  <si>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</si>
  <si>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</si>
  <si>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</si>
  <si>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</si>
  <si>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</si>
  <si>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</si>
  <si>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</si>
  <si>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</si>
  <si>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</si>
  <si>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</si>
  <si>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</si>
  <si>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</si>
  <si>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</si>
  <si>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</si>
  <si>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</si>
  <si>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</si>
  <si>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</si>
  <si>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</si>
  <si>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</si>
  <si>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</si>
  <si>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</si>
  <si>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</si>
  <si>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</si>
  <si>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</si>
  <si>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</si>
  <si>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</si>
  <si>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</si>
  <si>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</si>
  <si>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</si>
  <si>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</si>
  <si>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</si>
  <si>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</si>
  <si>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</si>
  <si>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</si>
  <si>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</si>
  <si>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</si>
  <si>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</si>
  <si>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</si>
  <si>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</si>
  <si>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</si>
  <si>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</si>
  <si>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</si>
  <si>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</si>
  <si>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</si>
  <si>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</si>
  <si>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</si>
  <si>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</si>
  <si>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</si>
  <si>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</si>
  <si>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</si>
  <si>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</si>
  <si>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</si>
  <si>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</si>
  <si>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</si>
  <si>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</si>
  <si>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</si>
  <si>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</si>
  <si>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</si>
  <si>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</si>
  <si>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</si>
  <si>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</si>
  <si>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</si>
  <si>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</si>
  <si>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</si>
  <si>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</si>
  <si>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</si>
  <si>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</si>
  <si>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</si>
  <si>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</si>
  <si>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</si>
  <si>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</si>
  <si>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</si>
  <si>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</si>
  <si>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</si>
  <si>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</si>
  <si>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</si>
  <si>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</si>
  <si>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</si>
  <si>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</si>
  <si>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</si>
  <si>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</si>
  <si>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</si>
  <si>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</si>
  <si>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</si>
  <si>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</si>
  <si>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</si>
  <si>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</si>
  <si>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</si>
  <si>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</si>
  <si>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</si>
  <si>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</si>
  <si>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</si>
  <si>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</si>
  <si>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</si>
  <si>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</si>
  <si>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</si>
  <si>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</si>
  <si>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</si>
  <si>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</si>
  <si>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</si>
  <si>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</si>
  <si>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</si>
  <si>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</si>
  <si>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</si>
  <si>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</si>
  <si>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</si>
  <si>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</si>
  <si>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</si>
  <si>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</si>
  <si>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</si>
  <si>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</si>
  <si>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</si>
  <si>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</si>
  <si>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</si>
  <si>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</si>
  <si>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</si>
  <si>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</si>
  <si>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</si>
  <si>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</si>
  <si>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</si>
  <si>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</si>
  <si>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</si>
  <si>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</si>
  <si>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</si>
  <si>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</si>
  <si>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</si>
  <si>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</si>
  <si>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</si>
  <si>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</si>
  <si>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</si>
  <si>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</si>
  <si>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</si>
  <si>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</si>
  <si>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</si>
  <si>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</si>
  <si>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</si>
  <si>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</si>
  <si>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</si>
  <si>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</si>
  <si>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</si>
  <si>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</si>
  <si>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</si>
  <si>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</si>
  <si>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</si>
  <si>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</si>
  <si>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</si>
  <si>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</si>
  <si>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</si>
  <si>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</si>
  <si>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</si>
  <si>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</si>
  <si>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</si>
  <si>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</si>
  <si>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</si>
  <si>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</si>
  <si>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</si>
  <si>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</si>
  <si>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</si>
  <si>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</si>
  <si>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</si>
  <si>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</si>
  <si>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</si>
  <si>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</si>
  <si>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</si>
  <si>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</si>
  <si>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</si>
  <si>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</si>
  <si>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</si>
  <si>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</si>
  <si>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</si>
  <si>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</si>
  <si>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</si>
  <si>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</si>
  <si>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</si>
  <si>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</si>
  <si>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</si>
  <si>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</si>
  <si>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</si>
  <si>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</si>
  <si>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</si>
  <si>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</si>
  <si>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</si>
  <si>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</si>
  <si>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</si>
  <si>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</si>
  <si>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</si>
  <si>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</si>
  <si>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</si>
  <si>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</si>
  <si>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</si>
  <si>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</si>
  <si>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</si>
  <si>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</si>
  <si>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</si>
  <si>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</si>
  <si>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</si>
  <si>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</si>
  <si>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</si>
  <si>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</si>
  <si>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</si>
  <si>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</si>
  <si>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</si>
  <si>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</si>
  <si>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</si>
  <si>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</si>
  <si>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</si>
  <si>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</si>
  <si>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</si>
  <si>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</si>
  <si>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</si>
  <si>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</si>
  <si>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</si>
  <si>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</si>
  <si>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</si>
  <si>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</si>
  <si>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</si>
  <si>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</si>
  <si>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</si>
  <si>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</si>
  <si>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</si>
  <si>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</si>
  <si>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</si>
  <si>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</si>
  <si>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</si>
  <si>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</si>
  <si>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</si>
  <si>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</si>
  <si>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</si>
  <si>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</si>
  <si>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</si>
  <si>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</si>
  <si>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</si>
  <si>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</si>
  <si>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</si>
  <si>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</si>
  <si>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</si>
  <si>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</si>
  <si>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</si>
  <si>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</si>
  <si>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</si>
  <si>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</si>
  <si>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</si>
  <si>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</si>
  <si>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</si>
  <si>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</si>
  <si>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</si>
  <si>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</si>
  <si>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</si>
  <si>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</si>
  <si>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</si>
  <si>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</si>
  <si>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</si>
  <si>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</si>
  <si>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</si>
  <si>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</si>
  <si>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</si>
  <si>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</si>
  <si>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</si>
  <si>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</si>
  <si>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</si>
  <si>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</si>
  <si>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</si>
  <si>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</si>
  <si>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</si>
  <si>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</si>
  <si>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</si>
  <si>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</si>
  <si>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</si>
  <si>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</si>
  <si>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</si>
  <si>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</si>
  <si>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</si>
  <si>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</si>
  <si>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</si>
  <si>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</si>
  <si>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</si>
  <si>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</si>
  <si>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</si>
  <si>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</si>
  <si>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</si>
  <si>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</si>
  <si>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</si>
  <si>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</si>
  <si>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</si>
  <si>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</si>
  <si>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</si>
  <si>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</si>
  <si>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</si>
  <si>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</si>
  <si>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</si>
  <si>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</si>
  <si>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</si>
  <si>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</si>
  <si>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</si>
  <si>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</si>
  <si>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</si>
  <si>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</si>
  <si>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</si>
  <si>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</si>
  <si>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</si>
  <si>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</si>
  <si>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</si>
  <si>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</si>
  <si>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</si>
  <si>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</si>
  <si>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</si>
  <si>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</si>
  <si>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</si>
  <si>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</si>
  <si>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</si>
  <si>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</si>
  <si>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</si>
  <si>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</si>
  <si>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</si>
  <si>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</si>
  <si>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</si>
  <si>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</si>
  <si>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</si>
  <si>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</si>
  <si>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</si>
  <si>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</si>
  <si>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</si>
  <si>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</si>
  <si>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</si>
  <si>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</si>
  <si>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</si>
  <si>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</si>
  <si>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</si>
  <si>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</si>
  <si>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</si>
  <si>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</si>
  <si>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</si>
  <si>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</si>
  <si>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</si>
  <si>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</si>
  <si>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</si>
  <si>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</si>
  <si>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</si>
  <si>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</si>
  <si>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</si>
  <si>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</si>
  <si>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</si>
  <si>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</si>
  <si>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</si>
  <si>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</si>
  <si>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</si>
  <si>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</si>
  <si>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</si>
  <si>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</si>
  <si>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</si>
  <si>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</si>
  <si>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</si>
  <si>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</si>
  <si>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</si>
  <si>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</si>
  <si>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</si>
  <si>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</si>
  <si>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</si>
  <si>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</si>
  <si>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</si>
  <si>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</si>
  <si>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</si>
  <si>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</si>
  <si>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</si>
  <si>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</si>
  <si>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</si>
  <si>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</si>
  <si>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</si>
  <si>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</si>
  <si>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</si>
  <si>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</si>
  <si>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</si>
  <si>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</si>
  <si>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</si>
  <si>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</si>
  <si>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</si>
  <si>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</si>
  <si>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</si>
  <si>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</si>
  <si>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</si>
  <si>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</si>
  <si>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</si>
  <si>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</si>
  <si>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</si>
  <si>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</si>
  <si>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</si>
  <si>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</si>
  <si>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</si>
  <si>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</si>
  <si>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</si>
  <si>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</si>
  <si>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</si>
  <si>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</si>
  <si>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</si>
  <si>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</si>
  <si>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</si>
  <si>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</si>
  <si>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</si>
  <si>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</si>
  <si>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</si>
  <si>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</si>
  <si>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</si>
  <si>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</si>
  <si>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</si>
  <si>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</si>
  <si>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</si>
  <si>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</si>
  <si>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</si>
  <si>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</si>
  <si>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</si>
  <si>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</si>
  <si>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</si>
  <si>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</si>
  <si>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</si>
  <si>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</si>
  <si>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</si>
  <si>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</si>
  <si>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</si>
  <si>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</si>
  <si>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</si>
  <si>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</si>
  <si>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</si>
  <si>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</si>
  <si>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</si>
  <si>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</si>
  <si>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</si>
  <si>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</si>
  <si>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</si>
  <si>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</si>
  <si>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</si>
  <si>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</si>
  <si>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</si>
  <si>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</si>
  <si>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</si>
  <si>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</si>
  <si>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</si>
  <si>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</si>
  <si>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</si>
  <si>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</si>
  <si>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</si>
  <si>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</si>
  <si>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</si>
  <si>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</si>
  <si>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</si>
  <si>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</si>
  <si>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</si>
  <si>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</si>
  <si>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</si>
  <si>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</si>
  <si>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</si>
  <si>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</si>
  <si>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</si>
  <si>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</si>
  <si>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</si>
  <si>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</si>
  <si>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</si>
  <si>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</si>
  <si>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</si>
  <si>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</si>
  <si>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</si>
  <si>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</si>
  <si>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</si>
  <si>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</si>
  <si>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</si>
  <si>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</si>
  <si>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</si>
  <si>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</si>
  <si>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</si>
  <si>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</si>
  <si>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</si>
  <si>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</si>
  <si>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</si>
  <si>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</si>
  <si>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</si>
  <si>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</si>
  <si>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</si>
  <si>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</si>
  <si>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</si>
  <si>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</si>
  <si>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</si>
  <si>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</si>
  <si>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</si>
  <si>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</si>
  <si>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</si>
  <si>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</si>
  <si>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</si>
  <si>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</si>
  <si>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</si>
  <si>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</si>
  <si>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</si>
  <si>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</si>
  <si>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</si>
  <si>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</si>
  <si>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</si>
  <si>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</si>
  <si>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</si>
  <si>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</si>
  <si>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</si>
  <si>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</si>
  <si>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</si>
  <si>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</si>
  <si>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</si>
  <si>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</si>
  <si>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</si>
  <si>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</si>
  <si>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</si>
  <si>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</si>
  <si>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</si>
  <si>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</si>
  <si>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</si>
  <si>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</si>
  <si>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</si>
  <si>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</si>
  <si>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</si>
  <si>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</si>
  <si>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</si>
  <si>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</si>
  <si>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</si>
  <si>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</si>
  <si>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</si>
  <si>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</si>
  <si>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</si>
  <si>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</si>
  <si>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</si>
  <si>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</si>
  <si>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</si>
  <si>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</si>
  <si>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</si>
  <si>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</si>
  <si>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</si>
  <si>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</si>
  <si>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</si>
  <si>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</si>
  <si>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</si>
  <si>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</si>
  <si>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</si>
  <si>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</si>
  <si>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</si>
  <si>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</si>
  <si>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</si>
  <si>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</si>
  <si>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</si>
  <si>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</si>
  <si>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</si>
  <si>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</si>
  <si>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</si>
  <si>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</si>
  <si>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</si>
  <si>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</si>
  <si>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</si>
  <si>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</si>
  <si>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</si>
  <si>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</si>
  <si>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</si>
  <si>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</si>
  <si>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</si>
  <si>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</si>
  <si>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</si>
  <si>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</si>
  <si>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</si>
  <si>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</si>
  <si>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</si>
  <si>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</si>
  <si>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</si>
  <si>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</si>
  <si>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</si>
  <si>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</si>
  <si>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</si>
  <si>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</si>
  <si>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</si>
  <si>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</si>
  <si>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</si>
  <si>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</si>
  <si>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</si>
  <si>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</si>
  <si>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</si>
  <si>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</si>
  <si>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</si>
  <si>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</si>
  <si>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</si>
  <si>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</si>
  <si>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</si>
  <si>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</si>
  <si>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</si>
  <si>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</si>
  <si>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</si>
  <si>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</si>
  <si>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</si>
  <si>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</si>
  <si>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</si>
  <si>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</si>
  <si>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</si>
  <si>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</si>
  <si>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</si>
  <si>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</si>
  <si>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</si>
  <si>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</si>
  <si>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</si>
  <si>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</si>
  <si>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</si>
  <si>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</si>
  <si>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</si>
  <si>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</si>
  <si>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</si>
  <si>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</si>
  <si>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</si>
  <si>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</si>
  <si>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</si>
  <si>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</si>
  <si>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</si>
  <si>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</si>
  <si>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</si>
  <si>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</si>
  <si>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</si>
  <si>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</si>
  <si>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</si>
  <si>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</si>
  <si>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</si>
  <si>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</si>
  <si>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</si>
  <si>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</si>
  <si>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</si>
  <si>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</si>
  <si>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</si>
  <si>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</si>
  <si>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</si>
  <si>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</si>
  <si>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</si>
  <si>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</si>
  <si>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</si>
  <si>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</si>
  <si>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</si>
  <si>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</si>
  <si>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</si>
  <si>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</si>
  <si>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</si>
  <si>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</si>
  <si>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</si>
  <si>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</si>
  <si>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</si>
  <si>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</si>
  <si>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</si>
  <si>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</si>
  <si>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</si>
  <si>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</si>
  <si>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</si>
  <si>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</si>
  <si>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</si>
  <si>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</si>
  <si>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</si>
  <si>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</si>
  <si>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</si>
  <si>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</si>
  <si>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</si>
  <si>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</si>
  <si>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</si>
  <si>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</si>
  <si>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</si>
  <si>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</si>
  <si>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</si>
  <si>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</si>
  <si>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</si>
  <si>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</si>
  <si>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</si>
  <si>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</si>
  <si>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</si>
  <si>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</si>
  <si>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</si>
  <si>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</si>
  <si>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</si>
  <si>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</si>
  <si>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</si>
  <si>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</si>
  <si>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</si>
  <si>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</si>
  <si>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</si>
  <si>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</si>
  <si>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</si>
  <si>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</si>
  <si>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</si>
  <si>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</si>
  <si>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</si>
  <si>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</si>
  <si>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</si>
  <si>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</si>
  <si>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</si>
  <si>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</si>
  <si>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</si>
  <si>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</si>
  <si>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</si>
  <si>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</si>
  <si>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</si>
  <si>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</si>
  <si>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</si>
  <si>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</si>
  <si>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</si>
  <si>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</si>
  <si>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</si>
  <si>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</si>
  <si>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</si>
  <si>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</si>
  <si>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</si>
  <si>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</si>
  <si>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</si>
  <si>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</si>
  <si>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</si>
  <si>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</si>
  <si>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</si>
  <si>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</si>
  <si>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</si>
  <si>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</si>
  <si>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</si>
  <si>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</si>
  <si>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</si>
  <si>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</si>
  <si>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</si>
  <si>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</si>
  <si>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</si>
  <si>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</si>
  <si>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</si>
  <si>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</si>
  <si>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</si>
  <si>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</si>
  <si>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</si>
  <si>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</si>
  <si>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</si>
  <si>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</si>
  <si>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</si>
  <si>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</si>
  <si>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</si>
  <si>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</si>
  <si>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</si>
  <si>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</si>
  <si>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</si>
  <si>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</si>
  <si>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</si>
  <si>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</si>
  <si>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</si>
  <si>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</si>
  <si>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</si>
  <si>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</si>
  <si>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</si>
  <si>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</si>
  <si>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</si>
  <si>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</si>
  <si>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</si>
  <si>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</si>
  <si>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</si>
  <si>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</si>
  <si>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</si>
  <si>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</si>
  <si>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</si>
  <si>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</si>
  <si>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</si>
  <si>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</si>
  <si>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</si>
  <si>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</si>
  <si>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</si>
  <si>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</si>
  <si>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</si>
  <si>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</si>
  <si>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</si>
  <si>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</si>
  <si>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</si>
  <si>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</si>
  <si>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</si>
  <si>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</si>
  <si>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</si>
  <si>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</si>
  <si>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</si>
  <si>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</si>
  <si>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</si>
  <si>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</si>
  <si>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</si>
  <si>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</si>
  <si>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</si>
  <si>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</si>
  <si>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</si>
  <si>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</si>
  <si>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</si>
  <si>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</si>
  <si>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</si>
  <si>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</si>
  <si>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</si>
  <si>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</si>
  <si>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</si>
  <si>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</si>
  <si>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</si>
  <si>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</si>
  <si>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</si>
  <si>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</si>
  <si>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</si>
  <si>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</si>
  <si>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</si>
  <si>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</si>
  <si>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</si>
  <si>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</si>
  <si>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</si>
  <si>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</si>
  <si>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</si>
  <si>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</si>
  <si>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</si>
  <si>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</si>
  <si>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</si>
  <si>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</si>
  <si>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</si>
  <si>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</si>
  <si>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</si>
  <si>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</si>
  <si>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</si>
  <si>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</si>
  <si>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</si>
  <si>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</si>
  <si>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</si>
  <si>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</si>
  <si>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</si>
  <si>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</si>
  <si>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</si>
  <si>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</si>
  <si>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</si>
  <si>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</si>
  <si>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</si>
  <si>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</si>
  <si>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</si>
  <si>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</si>
  <si>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</si>
  <si>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</si>
  <si>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</si>
  <si>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</si>
  <si>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</si>
  <si>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</si>
  <si>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</si>
  <si>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</si>
  <si>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</si>
  <si>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</si>
  <si>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</si>
  <si>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</si>
  <si>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</si>
  <si>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</si>
  <si>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</si>
  <si>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</si>
  <si>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</si>
  <si>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</si>
  <si>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</si>
  <si>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</si>
  <si>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</si>
  <si>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</si>
  <si>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</si>
  <si>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</si>
  <si>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</si>
  <si>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</si>
  <si>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</si>
  <si>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</si>
  <si>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</si>
  <si>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</si>
  <si>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</si>
  <si>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</si>
  <si>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</si>
  <si>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</si>
  <si>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</si>
  <si>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</si>
  <si>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</si>
  <si>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</si>
  <si>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</si>
  <si>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</si>
  <si>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</si>
  <si>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</si>
  <si>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</si>
  <si>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</si>
  <si>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</si>
  <si>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</si>
  <si>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</si>
  <si>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</si>
  <si>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</si>
  <si>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</si>
  <si>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</si>
  <si>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</si>
  <si>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</si>
  <si>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</si>
  <si>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</si>
  <si>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</si>
  <si>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</si>
  <si>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</si>
  <si>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</si>
  <si>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</si>
  <si>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</si>
  <si>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</si>
  <si>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</si>
  <si>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</si>
  <si>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</si>
  <si>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</si>
  <si>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</si>
  <si>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</si>
  <si>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</si>
  <si>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</si>
  <si>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</si>
  <si>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</si>
  <si>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</si>
  <si>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</si>
  <si>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</si>
  <si>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</si>
  <si>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</si>
  <si>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</si>
  <si>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</si>
  <si>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</si>
  <si>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</si>
  <si>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</si>
  <si>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</si>
  <si>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</si>
  <si>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</si>
  <si>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</si>
  <si>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</si>
  <si>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</si>
  <si>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</si>
  <si>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</si>
  <si>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</si>
  <si>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</si>
  <si>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</si>
  <si>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</si>
  <si>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</si>
  <si>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</si>
  <si>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</si>
  <si>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</si>
  <si>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</si>
  <si>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</si>
  <si>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</si>
  <si>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</si>
  <si>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</si>
  <si>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</si>
  <si>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</si>
  <si>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</si>
  <si>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</si>
  <si>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</si>
  <si>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</si>
  <si>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</si>
  <si>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</si>
  <si>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</si>
  <si>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</si>
  <si>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</si>
  <si>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</si>
  <si>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</si>
  <si>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</si>
  <si>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</si>
  <si>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</si>
  <si>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</si>
  <si>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</si>
  <si>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</si>
  <si>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</si>
  <si>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پارس 5077 تا 3680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</si>
  <si>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</si>
  <si>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</si>
  <si>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</si>
  <si>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</si>
  <si>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بدهی به مهدی زعفران 19/6/97</t>
  </si>
  <si>
    <t>دارایی قبلی بانک سامان که به مریم واگذار شد 17/6/97</t>
  </si>
  <si>
    <t>بدهی به مهدی وجه تضمین 19/6/97</t>
  </si>
  <si>
    <t>بدهی  به مهدی نقدی 19/6/97</t>
  </si>
  <si>
    <t>مبلغ کل</t>
  </si>
  <si>
    <t>سهم مهدی</t>
  </si>
  <si>
    <t>جمع علی</t>
  </si>
  <si>
    <t>جمع مهدی</t>
  </si>
  <si>
    <t>امتیاز مهدی</t>
  </si>
  <si>
    <t>به مریم برای دکتر 70 دادم و 150 گرفتم</t>
  </si>
  <si>
    <t>سهام پارس در بورس مریم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</si>
  <si>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</si>
  <si>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</si>
  <si>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</si>
  <si>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</si>
  <si>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</si>
  <si>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</si>
  <si>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</si>
  <si>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زعفران 7504 تا 9904.2</t>
  </si>
  <si>
    <t>بدهی به رضا زعفران 20/6/1397</t>
  </si>
  <si>
    <t>بدهی به رضا وجه تضمین 20/6/1397</t>
  </si>
  <si>
    <t>بدهی به رضا نقدی 20/6/1397</t>
  </si>
  <si>
    <t>علی 5 به رضا بدهکار بود که رفت به بورس</t>
  </si>
  <si>
    <t>سهم رضا</t>
  </si>
  <si>
    <t>امتیاز رضا</t>
  </si>
  <si>
    <t>جمع رضا</t>
  </si>
  <si>
    <t>رستوران احتشام</t>
  </si>
  <si>
    <t>بررسی سابقه و تصمیم درباره خرید زعفران پوشال معمولی  06</t>
  </si>
  <si>
    <t>22/6/1397</t>
  </si>
  <si>
    <t>مریم لباس خرید</t>
  </si>
  <si>
    <t>تعمیر کولر</t>
  </si>
  <si>
    <t>شارژ تضمین از 0.23 به 0.264091</t>
  </si>
  <si>
    <t>سود یک پکیج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</si>
  <si>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</si>
  <si>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</si>
  <si>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</si>
  <si>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</si>
  <si>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</si>
  <si>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جمع سود</t>
  </si>
  <si>
    <t>میانگین سود</t>
  </si>
  <si>
    <t>جمع امتیازات</t>
  </si>
  <si>
    <r>
      <t xml:space="preserve">گرفتن كالا، لازم است  نماينده قانوني وي همراه با مدارك احراز هويت و معرفي نامه كارگزار مالك يا به ، محل  انبار به  آدرس خراسان رضوي – تربت حيدريه </t>
    </r>
    <r>
      <rPr>
        <sz val="13"/>
        <color theme="1"/>
        <rFont val="Times New Roman"/>
        <family val="1"/>
      </rPr>
      <t xml:space="preserve">– </t>
    </r>
    <r>
      <rPr>
        <sz val="13"/>
        <color theme="1"/>
        <rFont val="Arial"/>
        <family val="2"/>
      </rPr>
      <t>خيابان  فردوسي شمالي – فردوسي 31  - ساختمان اميد  پلاك 7  مراجعه نمايد.  ساعات مراجعه از روز شنبه تا  چهار شنبه در روزهاي غير تعطيل، از ساعت  الي 9 14  مي باشد.</t>
    </r>
  </si>
  <si>
    <t>mfdonline2435836</t>
  </si>
  <si>
    <t>کد بورسی علی</t>
  </si>
  <si>
    <t>mfdonline320574</t>
  </si>
  <si>
    <t>ارزیابی زعفران در آزمایشگاه متعلق به انبار به آدرس مشهد – بلوا ر شهید صادقی - جنب روزنامه  خراسان - اتحادیه تعاونی هاي  روستایی استان خراسان رضوي طبقه همکف صورت می پذیرد</t>
  </si>
  <si>
    <t>تحویل با انبار روزهای زوج 9 تا 13</t>
  </si>
  <si>
    <t>آتی زعفران جدید فقط نماد هایی که انبار و آتی یکی هست</t>
  </si>
  <si>
    <t>شریفی</t>
  </si>
  <si>
    <t>021-87221441-2</t>
  </si>
  <si>
    <t>صفری</t>
  </si>
  <si>
    <t>021-87221448-9</t>
  </si>
  <si>
    <t>قربانی</t>
  </si>
  <si>
    <t>021-87221451</t>
  </si>
  <si>
    <t>نوسانگیری وغدیر 24/6</t>
  </si>
  <si>
    <t>سهم علی از خرید و فروش زاگرس 24/6</t>
  </si>
  <si>
    <t>وغدیر 31230 تا 185.1</t>
  </si>
  <si>
    <t>24/6/1397</t>
  </si>
  <si>
    <t>0515-2245888   ناصری داخلی 102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</si>
  <si>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</si>
  <si>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</si>
  <si>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</si>
  <si>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</si>
  <si>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علی 1 پکیج امتحانی 0.23 مجموع 1</t>
  </si>
  <si>
    <t>مهدی 13 پکیج 0.23 مجموع 13</t>
  </si>
  <si>
    <t>رضا 4 پکیج 0.23 مجموع 4</t>
  </si>
  <si>
    <t>مهدی 15 پکیج 0.23 مجموع 28</t>
  </si>
  <si>
    <t>علی 55 پکیج 0.23 مجموع 56</t>
  </si>
  <si>
    <t>شارژ تضمین از 0.264091 به 0.297091</t>
  </si>
  <si>
    <t>مهدی 3 واریز کرد و علی به مهدی بدهکار شد</t>
  </si>
  <si>
    <t>علی واریز کرد و از طلب مهدی کم کرد</t>
  </si>
  <si>
    <t>طلب از مریم</t>
  </si>
  <si>
    <t>بدهی به علی</t>
  </si>
  <si>
    <t>18/6/97</t>
  </si>
  <si>
    <t>19/6/97</t>
  </si>
  <si>
    <t>20/6/97</t>
  </si>
  <si>
    <t>21/6/97</t>
  </si>
  <si>
    <t>24/6/97</t>
  </si>
  <si>
    <t>دی ماه</t>
  </si>
  <si>
    <t>اختلاف</t>
  </si>
  <si>
    <t>25/6/97</t>
  </si>
  <si>
    <t>اختلاف با بیستم</t>
  </si>
  <si>
    <t>نطرین</t>
  </si>
  <si>
    <t>ضرر کل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</si>
  <si>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</si>
  <si>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</si>
  <si>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</si>
  <si>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</si>
  <si>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</si>
  <si>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وغدیر 251407 تا 180.7</t>
  </si>
  <si>
    <t>مهدی</t>
  </si>
  <si>
    <t>طلب از قبل</t>
  </si>
  <si>
    <t>22/6/97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</si>
</sst>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2"/>
      <color rgb="FF00AEF0"/>
      <name val="Helvetica-Bold"/>
    </font>
    <font>
      <sz val="14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9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top" readingOrder="1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13" workbookViewId="0">
      <selection activeCell="E76" sqref="E76"/>
    </sheetView>
  </sheetViews>
  <sheetFormatPr defaultRowHeight="1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>
      <c r="A2" s="116" t="s">
        <v>4084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>
      <c r="A3" s="20" t="s">
        <v>4081</v>
      </c>
      <c r="B3" s="18">
        <v>3000000</v>
      </c>
      <c r="C3" s="18">
        <v>0</v>
      </c>
      <c r="D3" s="121">
        <f t="shared" ref="D3:D24" si="0">B3-C3</f>
        <v>3000000</v>
      </c>
      <c r="E3" s="20" t="s">
        <v>4083</v>
      </c>
      <c r="F3" s="100">
        <v>30</v>
      </c>
      <c r="G3" s="100">
        <f t="shared" ref="G3:G24" si="1">B3*F3</f>
        <v>90000000</v>
      </c>
      <c r="H3" s="100">
        <f t="shared" ref="H3:H24" si="2">C3*F3</f>
        <v>0</v>
      </c>
      <c r="I3" s="100">
        <f t="shared" ref="I3:I24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>
      <c r="A4" s="20" t="s">
        <v>4092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>
      <c r="A5" s="30" t="s">
        <v>4091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>
      <c r="A6" s="17" t="s">
        <v>4091</v>
      </c>
      <c r="B6" s="18">
        <v>-33377</v>
      </c>
      <c r="C6" s="18">
        <v>0</v>
      </c>
      <c r="D6" s="117">
        <f t="shared" si="0"/>
        <v>-33377</v>
      </c>
      <c r="E6" s="19" t="s">
        <v>4095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>
      <c r="A7" s="17" t="s">
        <v>4124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>
      <c r="A8" s="17" t="s">
        <v>4124</v>
      </c>
      <c r="B8" s="18">
        <v>18000000</v>
      </c>
      <c r="C8" s="18">
        <v>0</v>
      </c>
      <c r="D8" s="117">
        <f t="shared" si="0"/>
        <v>18000000</v>
      </c>
      <c r="E8" s="19" t="s">
        <v>4125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>
      <c r="A9" s="17" t="s">
        <v>4124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>
      <c r="A10" s="17" t="s">
        <v>4124</v>
      </c>
      <c r="B10" s="18">
        <v>-11600</v>
      </c>
      <c r="C10" s="18">
        <v>0</v>
      </c>
      <c r="D10" s="117">
        <f t="shared" si="0"/>
        <v>-11600</v>
      </c>
      <c r="E10" s="19" t="s">
        <v>4129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>
      <c r="A11" s="17" t="s">
        <v>4124</v>
      </c>
      <c r="B11" s="18">
        <v>-3304327</v>
      </c>
      <c r="C11" s="18">
        <v>0</v>
      </c>
      <c r="D11" s="117">
        <f t="shared" si="0"/>
        <v>-3304327</v>
      </c>
      <c r="E11" s="19" t="s">
        <v>4130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>
      <c r="A12" s="20" t="s">
        <v>4134</v>
      </c>
      <c r="B12" s="18">
        <v>-3000900</v>
      </c>
      <c r="C12" s="18">
        <v>0</v>
      </c>
      <c r="D12" s="117">
        <f t="shared" si="0"/>
        <v>-3000900</v>
      </c>
      <c r="E12" s="20" t="s">
        <v>4135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>
      <c r="A13" s="20" t="s">
        <v>4140</v>
      </c>
      <c r="B13" s="18">
        <v>-2760900</v>
      </c>
      <c r="C13" s="18">
        <v>0</v>
      </c>
      <c r="D13" s="117">
        <f t="shared" si="0"/>
        <v>-2760900</v>
      </c>
      <c r="E13" s="20" t="s">
        <v>4141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>
      <c r="A14" s="20" t="s">
        <v>4154</v>
      </c>
      <c r="B14" s="18">
        <v>1000000</v>
      </c>
      <c r="C14" s="18">
        <v>0</v>
      </c>
      <c r="D14" s="117">
        <f t="shared" si="0"/>
        <v>1000000</v>
      </c>
      <c r="E14" s="20" t="s">
        <v>4132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>
      <c r="A15" s="23" t="s">
        <v>4174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>
      <c r="A16" s="20" t="s">
        <v>4170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>
      <c r="A17" s="20" t="s">
        <v>4170</v>
      </c>
      <c r="B17" s="18">
        <v>783000</v>
      </c>
      <c r="C17" s="18">
        <v>0</v>
      </c>
      <c r="D17" s="117">
        <f t="shared" si="0"/>
        <v>783000</v>
      </c>
      <c r="E17" s="20" t="s">
        <v>4178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>
      <c r="A18" s="20" t="s">
        <v>4204</v>
      </c>
      <c r="B18" s="18">
        <v>-750500</v>
      </c>
      <c r="C18" s="18">
        <v>0</v>
      </c>
      <c r="D18" s="117">
        <f t="shared" si="0"/>
        <v>-750500</v>
      </c>
      <c r="E18" s="20" t="s">
        <v>4205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>
      <c r="A19" s="20" t="s">
        <v>4229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>
      <c r="A20" s="19" t="s">
        <v>4229</v>
      </c>
      <c r="B20" s="18">
        <v>-99000</v>
      </c>
      <c r="C20" s="18">
        <v>0</v>
      </c>
      <c r="D20" s="117">
        <f t="shared" si="0"/>
        <v>-99000</v>
      </c>
      <c r="E20" s="19" t="s">
        <v>4240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>
      <c r="A21" s="19" t="s">
        <v>4242</v>
      </c>
      <c r="B21" s="18">
        <v>-205750</v>
      </c>
      <c r="C21" s="18">
        <v>0</v>
      </c>
      <c r="D21" s="117">
        <f t="shared" si="0"/>
        <v>-205750</v>
      </c>
      <c r="E21" s="19" t="s">
        <v>4243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>
      <c r="A22" s="19" t="s">
        <v>4242</v>
      </c>
      <c r="B22" s="18">
        <v>-95000</v>
      </c>
      <c r="C22" s="18">
        <v>0</v>
      </c>
      <c r="D22" s="117">
        <f t="shared" si="0"/>
        <v>-95000</v>
      </c>
      <c r="E22" s="19" t="s">
        <v>4244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>
      <c r="A23" s="19" t="s">
        <v>4298</v>
      </c>
      <c r="B23" s="18">
        <v>48650000</v>
      </c>
      <c r="C23" s="18">
        <v>0</v>
      </c>
      <c r="D23" s="117">
        <f t="shared" si="0"/>
        <v>48650000</v>
      </c>
      <c r="E23" s="19" t="s">
        <v>4299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>
      <c r="A24" s="19" t="s">
        <v>4298</v>
      </c>
      <c r="B24" s="18">
        <v>-3005900</v>
      </c>
      <c r="C24" s="18">
        <v>0</v>
      </c>
      <c r="D24" s="117">
        <f t="shared" si="0"/>
        <v>-3005900</v>
      </c>
      <c r="E24" s="19" t="s">
        <v>4301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>
      <c r="A25" s="19"/>
      <c r="B25" s="18"/>
      <c r="C25" s="18"/>
      <c r="D25" s="117"/>
      <c r="E25" s="19"/>
      <c r="F25" s="100"/>
      <c r="G25" s="100"/>
      <c r="H25" s="100"/>
      <c r="I25" s="100"/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>
      <c r="A26" s="116"/>
      <c r="B26" s="116"/>
      <c r="C26" s="116"/>
      <c r="D26" s="116"/>
      <c r="E26" s="116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>
      <c r="A27" s="116" t="s">
        <v>6</v>
      </c>
      <c r="B27" s="117">
        <f>SUM(B2:B26)</f>
        <v>45985197</v>
      </c>
      <c r="C27" s="117">
        <f>SUM(C2:C24)</f>
        <v>7835443</v>
      </c>
      <c r="D27" s="117">
        <f>SUM(D2:D24)</f>
        <v>38149754</v>
      </c>
      <c r="E27" s="116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>
      <c r="A28" s="100"/>
      <c r="B28" s="100"/>
      <c r="C28" s="100"/>
      <c r="D28" s="100"/>
      <c r="E28" s="100"/>
      <c r="F28" s="100"/>
      <c r="G28" s="18">
        <f>SUM(G2:G26)</f>
        <v>325291454</v>
      </c>
      <c r="H28" s="18">
        <f>SUM(H2:H26)</f>
        <v>242898733</v>
      </c>
      <c r="I28" s="18">
        <f>SUM(I2:I26)</f>
        <v>82392721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>
      <c r="A33" s="100"/>
      <c r="B33" s="100"/>
      <c r="C33" s="100"/>
      <c r="D33" s="42">
        <v>-11953237</v>
      </c>
      <c r="E33" s="41" t="s">
        <v>95</v>
      </c>
      <c r="F33" s="100"/>
      <c r="G33" s="18">
        <v>600</v>
      </c>
      <c r="H33" s="18">
        <f>G33*H28/G28</f>
        <v>448.02664812706701</v>
      </c>
      <c r="I33" s="18">
        <f>G33*I28/G28</f>
        <v>151.97335187293299</v>
      </c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>
      <c r="A34" s="100"/>
      <c r="B34" s="100"/>
      <c r="C34" s="100"/>
      <c r="D34" s="42">
        <v>814100</v>
      </c>
      <c r="E34" s="54" t="s">
        <v>4085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>
      <c r="A35" s="100"/>
      <c r="B35" s="118"/>
      <c r="C35" s="100"/>
      <c r="D35" s="42">
        <v>-80000</v>
      </c>
      <c r="E35" s="41" t="s">
        <v>4089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>
      <c r="A36" s="100"/>
      <c r="B36" s="100"/>
      <c r="C36" s="100"/>
      <c r="D36" s="42">
        <v>-3600000</v>
      </c>
      <c r="E36" s="41" t="s">
        <v>4090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>
      <c r="A37" s="100"/>
      <c r="B37" s="100"/>
      <c r="C37" s="100"/>
      <c r="D37" s="42">
        <v>33377</v>
      </c>
      <c r="E37" s="41" t="s">
        <v>4096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45">
      <c r="A38" s="100"/>
      <c r="B38" s="100"/>
      <c r="C38" s="100"/>
      <c r="D38" s="118">
        <v>-2495233</v>
      </c>
      <c r="E38" s="54" t="s">
        <v>4113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>
      <c r="A39" s="100"/>
      <c r="B39" s="100"/>
      <c r="C39" s="100"/>
      <c r="D39" s="118">
        <v>3304327</v>
      </c>
      <c r="E39" s="41" t="s">
        <v>4131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>
      <c r="A40" s="100"/>
      <c r="B40" s="100"/>
      <c r="C40" s="100"/>
      <c r="D40" s="118">
        <v>10000</v>
      </c>
      <c r="E40" s="41" t="s">
        <v>4132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>
      <c r="A41" s="100"/>
      <c r="B41" s="100"/>
      <c r="C41" s="100"/>
      <c r="D41" s="118">
        <v>3000900</v>
      </c>
      <c r="E41" s="41" t="s">
        <v>4133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>
      <c r="A42" s="100"/>
      <c r="B42" s="100"/>
      <c r="C42" s="100"/>
      <c r="D42" s="118">
        <v>2760900</v>
      </c>
      <c r="E42" s="41" t="s">
        <v>4142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>
      <c r="A43" s="100"/>
      <c r="B43" s="100"/>
      <c r="C43" s="100"/>
      <c r="D43" s="118">
        <v>-500000</v>
      </c>
      <c r="E43" s="41" t="s">
        <v>4144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>
      <c r="A44" s="100"/>
      <c r="B44" s="100"/>
      <c r="C44" s="100"/>
      <c r="D44" s="118">
        <v>-200000</v>
      </c>
      <c r="E44" s="41" t="s">
        <v>1243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642064</v>
      </c>
      <c r="E45" s="41" t="s">
        <v>4153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-1000000</v>
      </c>
      <c r="E46" s="41" t="s">
        <v>4155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200000</v>
      </c>
      <c r="E47" s="41" t="s">
        <v>4156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-110000</v>
      </c>
      <c r="E48" s="41" t="s">
        <v>791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>
      <c r="A49" s="100"/>
      <c r="B49" s="100"/>
      <c r="C49" s="100"/>
      <c r="D49" s="118">
        <v>-1300000</v>
      </c>
      <c r="E49" s="41" t="s">
        <v>4171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>
      <c r="A50" s="100"/>
      <c r="B50" s="100"/>
      <c r="C50" s="100"/>
      <c r="D50" s="118">
        <v>-5000</v>
      </c>
      <c r="E50" s="41" t="s">
        <v>4171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>
      <c r="A51" s="100"/>
      <c r="B51" s="100"/>
      <c r="C51" s="100"/>
      <c r="D51" s="118">
        <v>-50000</v>
      </c>
      <c r="E51" s="41" t="s">
        <v>4176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>
      <c r="A52" s="100"/>
      <c r="B52" s="100"/>
      <c r="C52" s="100"/>
      <c r="D52" s="118">
        <v>-5000</v>
      </c>
      <c r="E52" s="41" t="s">
        <v>4177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>
      <c r="A53" s="100"/>
      <c r="B53" s="100"/>
      <c r="C53" s="100"/>
      <c r="D53" s="118">
        <v>-94056</v>
      </c>
      <c r="E53" s="41" t="s">
        <v>4181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>
      <c r="A54" s="100"/>
      <c r="B54" s="100"/>
      <c r="C54" s="100"/>
      <c r="D54" s="118">
        <v>37083</v>
      </c>
      <c r="E54" s="41" t="s">
        <v>4184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>
      <c r="A55" s="100"/>
      <c r="B55" s="100"/>
      <c r="C55" s="100"/>
      <c r="D55" s="118">
        <v>-2000000</v>
      </c>
      <c r="E55" s="41" t="s">
        <v>4213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>
      <c r="A56" s="100"/>
      <c r="B56" s="100"/>
      <c r="C56" s="100"/>
      <c r="D56" s="118">
        <v>50000</v>
      </c>
      <c r="E56" s="41" t="s">
        <v>4211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>
      <c r="A57" s="100"/>
      <c r="B57" s="100"/>
      <c r="C57" s="100"/>
      <c r="D57" s="118"/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>
      <c r="A58" s="100"/>
      <c r="B58" s="100"/>
      <c r="C58" s="100"/>
      <c r="D58" s="118">
        <v>1223</v>
      </c>
      <c r="E58" s="41" t="s">
        <v>4206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>
      <c r="A59" s="100"/>
      <c r="B59" s="100"/>
      <c r="C59" s="100"/>
      <c r="D59" s="118">
        <v>-604742</v>
      </c>
      <c r="E59" s="41" t="s">
        <v>4207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>
      <c r="A60" s="100"/>
      <c r="B60" s="100"/>
      <c r="C60" s="100"/>
      <c r="D60" s="118">
        <v>3405686</v>
      </c>
      <c r="E60" s="41" t="s">
        <v>4208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>
      <c r="A61" s="100"/>
      <c r="B61" s="100"/>
      <c r="C61" s="100"/>
      <c r="D61" s="118">
        <v>-33237</v>
      </c>
      <c r="E61" s="41" t="s">
        <v>4215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>
      <c r="A62" s="100"/>
      <c r="B62" s="100"/>
      <c r="C62" s="100"/>
      <c r="D62" s="118">
        <v>1660000</v>
      </c>
      <c r="E62" s="41" t="s">
        <v>4212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>
      <c r="A63" s="100"/>
      <c r="B63" s="100"/>
      <c r="C63" s="100"/>
      <c r="D63" s="118">
        <v>80000</v>
      </c>
      <c r="E63" s="41" t="s">
        <v>4223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>
      <c r="A64" s="100"/>
      <c r="B64" s="100"/>
      <c r="C64" s="100"/>
      <c r="D64" s="118">
        <v>3100000</v>
      </c>
      <c r="E64" s="41" t="s">
        <v>4226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>
      <c r="A65" s="100"/>
      <c r="B65" s="100"/>
      <c r="C65" s="100"/>
      <c r="D65" s="118">
        <v>-435500</v>
      </c>
      <c r="E65" s="41" t="s">
        <v>4227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>
      <c r="A66" s="100"/>
      <c r="B66" s="100"/>
      <c r="C66" s="100"/>
      <c r="D66" s="118">
        <v>-700000</v>
      </c>
      <c r="E66" s="41" t="s">
        <v>4228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>
      <c r="A67" s="100"/>
      <c r="B67" s="100"/>
      <c r="C67" s="100"/>
      <c r="D67" s="118">
        <v>5000000</v>
      </c>
      <c r="E67" s="41" t="s">
        <v>4236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>
      <c r="A68" s="100"/>
      <c r="B68" s="100"/>
      <c r="C68" s="100"/>
      <c r="D68" s="118">
        <v>99000</v>
      </c>
      <c r="E68" s="41" t="s">
        <v>4240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>
      <c r="A69" s="100"/>
      <c r="B69" s="100"/>
      <c r="C69" s="100"/>
      <c r="D69" s="118">
        <v>-403089</v>
      </c>
      <c r="E69" s="41" t="s">
        <v>4268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>
      <c r="A70" s="100"/>
      <c r="B70" s="100"/>
      <c r="C70" s="100"/>
      <c r="D70" s="118">
        <v>-119170</v>
      </c>
      <c r="E70" s="41" t="s">
        <v>4269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>
      <c r="A71" s="100"/>
      <c r="B71" s="100"/>
      <c r="C71" s="100"/>
      <c r="D71" s="118">
        <v>-3000000</v>
      </c>
      <c r="E71" s="41" t="s">
        <v>4273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>
      <c r="A72" s="100"/>
      <c r="B72" s="100"/>
      <c r="C72" s="100"/>
      <c r="D72" s="118">
        <v>73355</v>
      </c>
      <c r="E72" s="41" t="s">
        <v>4274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>
      <c r="A73" s="100"/>
      <c r="B73" s="100"/>
      <c r="C73" s="100"/>
      <c r="D73" s="118">
        <v>-45600000</v>
      </c>
      <c r="E73" s="41" t="s">
        <v>4275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>
      <c r="A74" s="100"/>
      <c r="B74" s="100"/>
      <c r="C74" s="100"/>
      <c r="D74" s="118">
        <v>5000</v>
      </c>
      <c r="E74" s="41" t="s">
        <v>4302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>
      <c r="A75" s="100"/>
      <c r="B75" s="100"/>
      <c r="C75" s="100"/>
      <c r="D75" s="118"/>
      <c r="E75" s="41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>
      <c r="A76" s="100"/>
      <c r="B76" s="100"/>
      <c r="C76" s="100"/>
      <c r="D76" s="118"/>
      <c r="E76" s="41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>
      <c r="A77" s="100"/>
      <c r="B77" s="100"/>
      <c r="C77" s="100"/>
      <c r="D77" s="118"/>
      <c r="E77" s="41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>
      <c r="A78" s="100"/>
      <c r="B78" s="100"/>
      <c r="C78" s="100"/>
      <c r="D78" s="118"/>
      <c r="E78" s="41"/>
      <c r="F78" s="100"/>
      <c r="G78" s="100"/>
      <c r="H78" s="100"/>
      <c r="I78" s="100"/>
    </row>
    <row r="79" spans="1:20">
      <c r="A79" s="100"/>
      <c r="B79" s="100"/>
      <c r="C79" s="100"/>
      <c r="D79" s="118"/>
      <c r="E79" s="41"/>
      <c r="F79" s="100"/>
      <c r="G79" s="100"/>
      <c r="H79" s="100"/>
      <c r="I79" s="100"/>
    </row>
    <row r="80" spans="1:20">
      <c r="A80" s="100"/>
      <c r="B80" s="100"/>
      <c r="C80" s="100"/>
      <c r="D80" s="118"/>
      <c r="E80" s="41"/>
      <c r="F80" s="100"/>
      <c r="G80" s="100"/>
      <c r="H80" s="100"/>
      <c r="I80" s="100"/>
    </row>
    <row r="81" spans="4:5">
      <c r="D81" s="118"/>
      <c r="E81" s="41" t="s">
        <v>25</v>
      </c>
    </row>
    <row r="82" spans="4:5">
      <c r="D82" s="118"/>
      <c r="E82" s="100"/>
    </row>
    <row r="83" spans="4:5">
      <c r="D83" s="118">
        <f>SUM(D33:D82)</f>
        <v>-50011249</v>
      </c>
      <c r="E83" s="100" t="s">
        <v>6</v>
      </c>
    </row>
    <row r="84" spans="4:5">
      <c r="D84" s="118"/>
      <c r="E84" s="41"/>
    </row>
    <row r="85" spans="4:5">
      <c r="D85" s="100"/>
      <c r="E85" s="100"/>
    </row>
    <row r="86" spans="4:5">
      <c r="D86" s="100"/>
      <c r="E86" s="100" t="s">
        <v>25</v>
      </c>
    </row>
    <row r="87" spans="4:5">
      <c r="E87" t="s">
        <v>25</v>
      </c>
    </row>
    <row r="89" spans="4:5">
      <c r="E89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2" activePane="bottomLeft" state="frozen"/>
      <selection pane="bottomLeft" activeCell="F204" sqref="F20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889</v>
      </c>
      <c r="H2" s="36">
        <f>IF(B2&gt;0,1,0)</f>
        <v>1</v>
      </c>
      <c r="I2" s="11">
        <f>B2*(G2-H2)</f>
        <v>14829600</v>
      </c>
      <c r="J2" s="53">
        <f>C2*(G2-H2)</f>
        <v>14829600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888</v>
      </c>
      <c r="H3" s="36">
        <f t="shared" ref="H3:H66" si="2">IF(B3&gt;0,1,0)</f>
        <v>1</v>
      </c>
      <c r="I3" s="11">
        <f t="shared" ref="I3:I66" si="3">B3*(G3-H3)</f>
        <v>17651300000</v>
      </c>
      <c r="J3" s="53">
        <f t="shared" ref="J3:J66" si="4">C3*(G3-H3)</f>
        <v>10100269000</v>
      </c>
      <c r="K3" s="53">
        <f t="shared" ref="K3:K66" si="5">D3*(G3-H3)</f>
        <v>7551031000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888</v>
      </c>
      <c r="H4" s="36">
        <f t="shared" si="2"/>
        <v>0</v>
      </c>
      <c r="I4" s="11">
        <f t="shared" si="3"/>
        <v>0</v>
      </c>
      <c r="J4" s="53">
        <f t="shared" si="4"/>
        <v>7548000</v>
      </c>
      <c r="K4" s="53">
        <f t="shared" si="5"/>
        <v>-7548000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886</v>
      </c>
      <c r="H5" s="36">
        <f t="shared" si="2"/>
        <v>1</v>
      </c>
      <c r="I5" s="11">
        <f t="shared" si="3"/>
        <v>1770000000</v>
      </c>
      <c r="J5" s="53">
        <f t="shared" si="4"/>
        <v>0</v>
      </c>
      <c r="K5" s="53">
        <f t="shared" si="5"/>
        <v>1770000000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879</v>
      </c>
      <c r="H6" s="36">
        <f t="shared" si="2"/>
        <v>0</v>
      </c>
      <c r="I6" s="11">
        <f t="shared" si="3"/>
        <v>-4395000</v>
      </c>
      <c r="J6" s="53">
        <f t="shared" si="4"/>
        <v>0</v>
      </c>
      <c r="K6" s="53">
        <f t="shared" si="5"/>
        <v>-4395000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875</v>
      </c>
      <c r="H7" s="36">
        <f t="shared" si="2"/>
        <v>0</v>
      </c>
      <c r="I7" s="11">
        <f t="shared" si="3"/>
        <v>-1050437500</v>
      </c>
      <c r="J7" s="53">
        <f t="shared" si="4"/>
        <v>0</v>
      </c>
      <c r="K7" s="53">
        <f t="shared" si="5"/>
        <v>-1050437500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874</v>
      </c>
      <c r="H8" s="36">
        <f t="shared" si="2"/>
        <v>0</v>
      </c>
      <c r="I8" s="11">
        <f t="shared" si="3"/>
        <v>-174800000</v>
      </c>
      <c r="J8" s="53">
        <f t="shared" si="4"/>
        <v>0</v>
      </c>
      <c r="K8" s="53">
        <f t="shared" si="5"/>
        <v>-174800000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872</v>
      </c>
      <c r="H9" s="36">
        <f t="shared" si="2"/>
        <v>0</v>
      </c>
      <c r="I9" s="11">
        <f t="shared" si="3"/>
        <v>-615196000</v>
      </c>
      <c r="J9" s="53">
        <f t="shared" si="4"/>
        <v>0</v>
      </c>
      <c r="K9" s="53">
        <f t="shared" si="5"/>
        <v>-615196000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863</v>
      </c>
      <c r="H10" s="36">
        <f t="shared" si="2"/>
        <v>0</v>
      </c>
      <c r="I10" s="11">
        <f t="shared" si="3"/>
        <v>-172600000</v>
      </c>
      <c r="J10" s="53">
        <f t="shared" si="4"/>
        <v>0</v>
      </c>
      <c r="K10" s="53">
        <f t="shared" si="5"/>
        <v>-172600000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863</v>
      </c>
      <c r="H11" s="36">
        <f t="shared" si="2"/>
        <v>1</v>
      </c>
      <c r="I11" s="11">
        <f t="shared" si="3"/>
        <v>862000000</v>
      </c>
      <c r="J11" s="53">
        <f t="shared" si="4"/>
        <v>0</v>
      </c>
      <c r="K11" s="53">
        <f t="shared" si="5"/>
        <v>862000000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859</v>
      </c>
      <c r="H12" s="36">
        <f t="shared" si="2"/>
        <v>0</v>
      </c>
      <c r="I12" s="11">
        <f t="shared" si="3"/>
        <v>-257700000</v>
      </c>
      <c r="J12" s="53">
        <f t="shared" si="4"/>
        <v>0</v>
      </c>
      <c r="K12" s="53">
        <f t="shared" si="5"/>
        <v>-257700000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854</v>
      </c>
      <c r="H13" s="36">
        <f t="shared" si="2"/>
        <v>0</v>
      </c>
      <c r="I13" s="11">
        <f t="shared" si="3"/>
        <v>-52948000</v>
      </c>
      <c r="J13" s="53">
        <f t="shared" si="4"/>
        <v>0</v>
      </c>
      <c r="K13" s="53">
        <f t="shared" si="5"/>
        <v>-52948000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854</v>
      </c>
      <c r="H14" s="36">
        <f t="shared" si="2"/>
        <v>1</v>
      </c>
      <c r="I14" s="11">
        <f t="shared" si="3"/>
        <v>1706000000</v>
      </c>
      <c r="J14" s="53">
        <f t="shared" si="4"/>
        <v>0</v>
      </c>
      <c r="K14" s="53">
        <f t="shared" si="5"/>
        <v>1706000000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853</v>
      </c>
      <c r="H15" s="36">
        <f t="shared" si="2"/>
        <v>1</v>
      </c>
      <c r="I15" s="11">
        <f t="shared" si="3"/>
        <v>1533600000</v>
      </c>
      <c r="J15" s="53">
        <f t="shared" si="4"/>
        <v>0</v>
      </c>
      <c r="K15" s="53">
        <f t="shared" si="5"/>
        <v>1533600000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853</v>
      </c>
      <c r="H16" s="36">
        <f t="shared" si="2"/>
        <v>0</v>
      </c>
      <c r="I16" s="11">
        <f t="shared" si="3"/>
        <v>-170600000</v>
      </c>
      <c r="J16" s="53">
        <f t="shared" si="4"/>
        <v>0</v>
      </c>
      <c r="K16" s="53">
        <f t="shared" si="5"/>
        <v>-170600000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849</v>
      </c>
      <c r="H17" s="36">
        <f t="shared" si="2"/>
        <v>0</v>
      </c>
      <c r="I17" s="11">
        <f t="shared" si="3"/>
        <v>-1698000000</v>
      </c>
      <c r="J17" s="53">
        <f t="shared" si="4"/>
        <v>0</v>
      </c>
      <c r="K17" s="53">
        <f t="shared" si="5"/>
        <v>-1698000000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848</v>
      </c>
      <c r="H18" s="36">
        <f t="shared" si="2"/>
        <v>0</v>
      </c>
      <c r="I18" s="11">
        <f t="shared" si="3"/>
        <v>-254400000</v>
      </c>
      <c r="J18" s="53">
        <f t="shared" si="4"/>
        <v>0</v>
      </c>
      <c r="K18" s="53">
        <f t="shared" si="5"/>
        <v>-254400000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847</v>
      </c>
      <c r="H19" s="36">
        <f t="shared" si="2"/>
        <v>0</v>
      </c>
      <c r="I19" s="11">
        <f t="shared" si="3"/>
        <v>-169400000</v>
      </c>
      <c r="J19" s="53">
        <f t="shared" si="4"/>
        <v>0</v>
      </c>
      <c r="K19" s="53">
        <f t="shared" si="5"/>
        <v>-169400000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845</v>
      </c>
      <c r="H20" s="36">
        <f t="shared" si="2"/>
        <v>1</v>
      </c>
      <c r="I20" s="11">
        <f t="shared" si="3"/>
        <v>228799116</v>
      </c>
      <c r="J20" s="53">
        <f t="shared" si="4"/>
        <v>124449488</v>
      </c>
      <c r="K20" s="53">
        <f t="shared" si="5"/>
        <v>104349628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843</v>
      </c>
      <c r="H21" s="36">
        <f t="shared" si="2"/>
        <v>0</v>
      </c>
      <c r="I21" s="11">
        <f t="shared" si="3"/>
        <v>-1269305100</v>
      </c>
      <c r="J21" s="53">
        <f t="shared" si="4"/>
        <v>0</v>
      </c>
      <c r="K21" s="53">
        <f t="shared" si="5"/>
        <v>-1269305100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840</v>
      </c>
      <c r="H22" s="36">
        <f t="shared" si="2"/>
        <v>1</v>
      </c>
      <c r="I22" s="11">
        <f t="shared" si="3"/>
        <v>2517000000</v>
      </c>
      <c r="J22" s="53">
        <f t="shared" si="4"/>
        <v>0</v>
      </c>
      <c r="K22" s="53">
        <f t="shared" si="5"/>
        <v>2517000000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839</v>
      </c>
      <c r="H23" s="36">
        <f t="shared" si="2"/>
        <v>1</v>
      </c>
      <c r="I23" s="11">
        <f t="shared" si="3"/>
        <v>838000000</v>
      </c>
      <c r="J23" s="53">
        <f t="shared" si="4"/>
        <v>0</v>
      </c>
      <c r="K23" s="53">
        <f t="shared" si="5"/>
        <v>838000000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838</v>
      </c>
      <c r="H24" s="36">
        <f t="shared" si="2"/>
        <v>0</v>
      </c>
      <c r="I24" s="11">
        <f t="shared" si="3"/>
        <v>-2514754200</v>
      </c>
      <c r="J24" s="53">
        <f t="shared" si="4"/>
        <v>0</v>
      </c>
      <c r="K24" s="53">
        <f t="shared" si="5"/>
        <v>-2514754200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823</v>
      </c>
      <c r="H25" s="36">
        <f t="shared" si="2"/>
        <v>1</v>
      </c>
      <c r="I25" s="11">
        <f t="shared" si="3"/>
        <v>1233000000</v>
      </c>
      <c r="J25" s="53">
        <f t="shared" si="4"/>
        <v>0</v>
      </c>
      <c r="K25" s="53">
        <f t="shared" si="5"/>
        <v>1233000000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815</v>
      </c>
      <c r="H26" s="36">
        <f t="shared" si="2"/>
        <v>0</v>
      </c>
      <c r="I26" s="11">
        <f t="shared" si="3"/>
        <v>-133660000</v>
      </c>
      <c r="J26" s="53">
        <f t="shared" si="4"/>
        <v>0</v>
      </c>
      <c r="K26" s="53">
        <f t="shared" si="5"/>
        <v>-133660000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814</v>
      </c>
      <c r="H27" s="36">
        <f t="shared" si="2"/>
        <v>1</v>
      </c>
      <c r="I27" s="11">
        <f t="shared" si="3"/>
        <v>162106509</v>
      </c>
      <c r="J27" s="53">
        <f t="shared" si="4"/>
        <v>87326769</v>
      </c>
      <c r="K27" s="53">
        <f t="shared" si="5"/>
        <v>74779740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812</v>
      </c>
      <c r="H28" s="36">
        <f t="shared" si="2"/>
        <v>0</v>
      </c>
      <c r="I28" s="11">
        <f t="shared" si="3"/>
        <v>-179452000</v>
      </c>
      <c r="J28" s="53">
        <f t="shared" si="4"/>
        <v>-179452000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812</v>
      </c>
      <c r="H29" s="36">
        <f t="shared" si="2"/>
        <v>0</v>
      </c>
      <c r="I29" s="11">
        <f t="shared" si="3"/>
        <v>-406406000</v>
      </c>
      <c r="J29" s="53">
        <f t="shared" si="4"/>
        <v>0</v>
      </c>
      <c r="K29" s="53">
        <f t="shared" si="5"/>
        <v>-406406000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812</v>
      </c>
      <c r="H30" s="36">
        <f t="shared" si="2"/>
        <v>0</v>
      </c>
      <c r="I30" s="11">
        <f t="shared" si="3"/>
        <v>-12180000000</v>
      </c>
      <c r="J30" s="53">
        <f t="shared" si="4"/>
        <v>-12180000000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795</v>
      </c>
      <c r="H31" s="36">
        <f t="shared" si="2"/>
        <v>0</v>
      </c>
      <c r="I31" s="11">
        <f t="shared" si="3"/>
        <v>-2393665500</v>
      </c>
      <c r="J31" s="53">
        <f t="shared" si="4"/>
        <v>0</v>
      </c>
      <c r="K31" s="53">
        <f t="shared" si="5"/>
        <v>-2393665500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793</v>
      </c>
      <c r="H32" s="36">
        <f t="shared" si="2"/>
        <v>0</v>
      </c>
      <c r="I32" s="11">
        <f t="shared" si="3"/>
        <v>-2383678700</v>
      </c>
      <c r="J32" s="53">
        <f t="shared" si="4"/>
        <v>0</v>
      </c>
      <c r="K32" s="53">
        <f t="shared" si="5"/>
        <v>-2383678700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792</v>
      </c>
      <c r="H33" s="36">
        <f t="shared" si="2"/>
        <v>0</v>
      </c>
      <c r="I33" s="11">
        <f t="shared" si="3"/>
        <v>-709236000</v>
      </c>
      <c r="J33" s="53">
        <f t="shared" si="4"/>
        <v>0</v>
      </c>
      <c r="K33" s="53">
        <f t="shared" si="5"/>
        <v>-709236000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792</v>
      </c>
      <c r="H34" s="36">
        <f t="shared" si="2"/>
        <v>0</v>
      </c>
      <c r="I34" s="11">
        <f t="shared" si="3"/>
        <v>0</v>
      </c>
      <c r="J34" s="53">
        <f t="shared" si="4"/>
        <v>792000000</v>
      </c>
      <c r="K34" s="53">
        <f t="shared" si="5"/>
        <v>-792000000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783</v>
      </c>
      <c r="H35" s="36">
        <f t="shared" si="2"/>
        <v>1</v>
      </c>
      <c r="I35" s="11">
        <f t="shared" si="3"/>
        <v>41033104</v>
      </c>
      <c r="J35" s="53">
        <f t="shared" si="4"/>
        <v>-16940466</v>
      </c>
      <c r="K35" s="53">
        <f t="shared" si="5"/>
        <v>57973570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783</v>
      </c>
      <c r="H36" s="36">
        <f t="shared" si="2"/>
        <v>0</v>
      </c>
      <c r="I36" s="11">
        <f t="shared" si="3"/>
        <v>0</v>
      </c>
      <c r="J36" s="53">
        <f t="shared" si="4"/>
        <v>16962129</v>
      </c>
      <c r="K36" s="53">
        <f t="shared" si="5"/>
        <v>-16962129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773</v>
      </c>
      <c r="H37" s="36">
        <f t="shared" si="2"/>
        <v>0</v>
      </c>
      <c r="I37" s="11">
        <f t="shared" si="3"/>
        <v>-42515000</v>
      </c>
      <c r="J37" s="53">
        <f t="shared" si="4"/>
        <v>0</v>
      </c>
      <c r="K37" s="53">
        <f t="shared" si="5"/>
        <v>-42515000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772</v>
      </c>
      <c r="H38" s="36">
        <f t="shared" si="2"/>
        <v>1</v>
      </c>
      <c r="I38" s="11">
        <f t="shared" si="3"/>
        <v>2313000000</v>
      </c>
      <c r="J38" s="53">
        <f t="shared" si="4"/>
        <v>2313000000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771</v>
      </c>
      <c r="H39" s="36">
        <f t="shared" si="2"/>
        <v>1</v>
      </c>
      <c r="I39" s="11">
        <f t="shared" si="3"/>
        <v>1925000000</v>
      </c>
      <c r="J39" s="53">
        <f t="shared" si="4"/>
        <v>1925000000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771</v>
      </c>
      <c r="H40" s="36">
        <f t="shared" si="2"/>
        <v>0</v>
      </c>
      <c r="I40" s="11">
        <f t="shared" si="3"/>
        <v>-38550000</v>
      </c>
      <c r="J40" s="53">
        <f t="shared" si="4"/>
        <v>0</v>
      </c>
      <c r="K40" s="53">
        <f t="shared" si="5"/>
        <v>-38550000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771</v>
      </c>
      <c r="H41" s="36">
        <f t="shared" si="2"/>
        <v>1</v>
      </c>
      <c r="I41" s="11">
        <f t="shared" si="3"/>
        <v>2310000000</v>
      </c>
      <c r="J41" s="53">
        <f t="shared" si="4"/>
        <v>0</v>
      </c>
      <c r="K41" s="53">
        <f t="shared" si="5"/>
        <v>2310000000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768</v>
      </c>
      <c r="H42" s="36">
        <f t="shared" si="2"/>
        <v>0</v>
      </c>
      <c r="I42" s="11">
        <f t="shared" si="3"/>
        <v>-68505600</v>
      </c>
      <c r="J42" s="53">
        <f t="shared" si="4"/>
        <v>0</v>
      </c>
      <c r="K42" s="53">
        <f t="shared" si="5"/>
        <v>-68505600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764</v>
      </c>
      <c r="H43" s="36">
        <f t="shared" si="2"/>
        <v>0</v>
      </c>
      <c r="I43" s="11">
        <f t="shared" si="3"/>
        <v>-152800000</v>
      </c>
      <c r="J43" s="53">
        <f t="shared" si="4"/>
        <v>0</v>
      </c>
      <c r="K43" s="53">
        <f t="shared" si="5"/>
        <v>-152800000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762</v>
      </c>
      <c r="H44" s="36">
        <f t="shared" si="2"/>
        <v>0</v>
      </c>
      <c r="I44" s="11">
        <f t="shared" si="3"/>
        <v>-152400000</v>
      </c>
      <c r="J44" s="53">
        <f t="shared" si="4"/>
        <v>0</v>
      </c>
      <c r="K44" s="53">
        <f t="shared" si="5"/>
        <v>-152400000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762</v>
      </c>
      <c r="H45" s="36">
        <f t="shared" si="2"/>
        <v>0</v>
      </c>
      <c r="I45" s="11">
        <f t="shared" si="3"/>
        <v>-426720000</v>
      </c>
      <c r="J45" s="53">
        <f t="shared" si="4"/>
        <v>0</v>
      </c>
      <c r="K45" s="53">
        <f t="shared" si="5"/>
        <v>-426720000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758</v>
      </c>
      <c r="H46" s="36">
        <f t="shared" si="2"/>
        <v>0</v>
      </c>
      <c r="I46" s="11">
        <f t="shared" si="3"/>
        <v>-534769000</v>
      </c>
      <c r="J46" s="53">
        <f t="shared" si="4"/>
        <v>0</v>
      </c>
      <c r="K46" s="53">
        <f t="shared" si="5"/>
        <v>-534769000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752</v>
      </c>
      <c r="H47" s="36">
        <f t="shared" si="2"/>
        <v>1</v>
      </c>
      <c r="I47" s="11">
        <f t="shared" si="3"/>
        <v>30944204</v>
      </c>
      <c r="J47" s="53">
        <f t="shared" si="4"/>
        <v>5041463</v>
      </c>
      <c r="K47" s="53">
        <f t="shared" si="5"/>
        <v>25902741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752</v>
      </c>
      <c r="H48" s="36">
        <f t="shared" si="2"/>
        <v>1</v>
      </c>
      <c r="I48" s="11">
        <f t="shared" si="3"/>
        <v>1280229700</v>
      </c>
      <c r="J48" s="53">
        <f t="shared" si="4"/>
        <v>0</v>
      </c>
      <c r="K48" s="53">
        <f t="shared" si="5"/>
        <v>1280229700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743</v>
      </c>
      <c r="H49" s="36">
        <f t="shared" si="2"/>
        <v>0</v>
      </c>
      <c r="I49" s="11">
        <f t="shared" si="3"/>
        <v>-115165000</v>
      </c>
      <c r="J49" s="53">
        <f t="shared" si="4"/>
        <v>0</v>
      </c>
      <c r="K49" s="53">
        <f t="shared" si="5"/>
        <v>-115165000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743</v>
      </c>
      <c r="H50" s="36">
        <f t="shared" si="2"/>
        <v>0</v>
      </c>
      <c r="I50" s="11">
        <f t="shared" si="3"/>
        <v>-102534000</v>
      </c>
      <c r="J50" s="53">
        <f t="shared" si="4"/>
        <v>0</v>
      </c>
      <c r="K50" s="53">
        <f t="shared" si="5"/>
        <v>-102534000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743</v>
      </c>
      <c r="H51" s="36">
        <f t="shared" si="2"/>
        <v>0</v>
      </c>
      <c r="I51" s="11">
        <f t="shared" si="3"/>
        <v>-549820000</v>
      </c>
      <c r="J51" s="53">
        <f t="shared" si="4"/>
        <v>0</v>
      </c>
      <c r="K51" s="53">
        <f t="shared" si="5"/>
        <v>-549820000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743</v>
      </c>
      <c r="H52" s="36">
        <f t="shared" si="2"/>
        <v>0</v>
      </c>
      <c r="I52" s="11">
        <f t="shared" si="3"/>
        <v>-148600000</v>
      </c>
      <c r="J52" s="53">
        <f t="shared" si="4"/>
        <v>0</v>
      </c>
      <c r="K52" s="53">
        <f t="shared" si="5"/>
        <v>-148600000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742</v>
      </c>
      <c r="H53" s="36">
        <f t="shared" si="2"/>
        <v>0</v>
      </c>
      <c r="I53" s="11">
        <f t="shared" si="3"/>
        <v>-782810000</v>
      </c>
      <c r="J53" s="53">
        <f t="shared" si="4"/>
        <v>0</v>
      </c>
      <c r="K53" s="53">
        <f t="shared" si="5"/>
        <v>-782810000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742</v>
      </c>
      <c r="H54" s="36">
        <f t="shared" si="2"/>
        <v>0</v>
      </c>
      <c r="I54" s="11">
        <f t="shared" si="3"/>
        <v>-148400000</v>
      </c>
      <c r="J54" s="53">
        <f t="shared" si="4"/>
        <v>0</v>
      </c>
      <c r="K54" s="53">
        <f t="shared" si="5"/>
        <v>-148400000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742</v>
      </c>
      <c r="H55" s="36">
        <f t="shared" si="2"/>
        <v>0</v>
      </c>
      <c r="I55" s="11">
        <f t="shared" si="3"/>
        <v>-742371000</v>
      </c>
      <c r="J55" s="53">
        <f t="shared" si="4"/>
        <v>0</v>
      </c>
      <c r="K55" s="53">
        <f t="shared" si="5"/>
        <v>-742371000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742</v>
      </c>
      <c r="H56" s="36">
        <f t="shared" si="2"/>
        <v>0</v>
      </c>
      <c r="I56" s="11">
        <f t="shared" si="3"/>
        <v>-28196000</v>
      </c>
      <c r="J56" s="53">
        <f t="shared" si="4"/>
        <v>0</v>
      </c>
      <c r="K56" s="53">
        <f t="shared" si="5"/>
        <v>-28196000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742</v>
      </c>
      <c r="H57" s="36">
        <f t="shared" si="2"/>
        <v>0</v>
      </c>
      <c r="I57" s="11">
        <f t="shared" si="3"/>
        <v>-77910000</v>
      </c>
      <c r="J57" s="53">
        <f t="shared" si="4"/>
        <v>0</v>
      </c>
      <c r="K57" s="53">
        <f t="shared" si="5"/>
        <v>-77910000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742</v>
      </c>
      <c r="H58" s="36">
        <f t="shared" si="2"/>
        <v>0</v>
      </c>
      <c r="I58" s="11">
        <f t="shared" si="3"/>
        <v>-44520000</v>
      </c>
      <c r="J58" s="53">
        <f t="shared" si="4"/>
        <v>0</v>
      </c>
      <c r="K58" s="53">
        <f t="shared" si="5"/>
        <v>-44520000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739</v>
      </c>
      <c r="H59" s="36">
        <f t="shared" si="2"/>
        <v>1</v>
      </c>
      <c r="I59" s="11">
        <f t="shared" si="3"/>
        <v>738000000</v>
      </c>
      <c r="J59" s="53">
        <f t="shared" si="4"/>
        <v>738000000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738</v>
      </c>
      <c r="H60" s="36">
        <f t="shared" si="2"/>
        <v>1</v>
      </c>
      <c r="I60" s="11">
        <f t="shared" si="3"/>
        <v>2579500000</v>
      </c>
      <c r="J60" s="53">
        <f t="shared" si="4"/>
        <v>2579500000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736</v>
      </c>
      <c r="H61" s="36">
        <f t="shared" si="2"/>
        <v>1</v>
      </c>
      <c r="I61" s="11">
        <f t="shared" si="3"/>
        <v>735000000</v>
      </c>
      <c r="J61" s="53">
        <f t="shared" si="4"/>
        <v>735000000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736</v>
      </c>
      <c r="H62" s="36">
        <f t="shared" si="2"/>
        <v>1</v>
      </c>
      <c r="I62" s="11">
        <f t="shared" si="3"/>
        <v>2205000000</v>
      </c>
      <c r="J62" s="53">
        <f t="shared" si="4"/>
        <v>2205000000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734</v>
      </c>
      <c r="H63" s="36">
        <f t="shared" si="2"/>
        <v>0</v>
      </c>
      <c r="I63" s="11">
        <f t="shared" si="3"/>
        <v>-146800000</v>
      </c>
      <c r="J63" s="53">
        <f t="shared" si="4"/>
        <v>0</v>
      </c>
      <c r="K63" s="53">
        <f t="shared" si="5"/>
        <v>-146800000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729</v>
      </c>
      <c r="H64" s="36">
        <f t="shared" si="2"/>
        <v>0</v>
      </c>
      <c r="I64" s="11">
        <f t="shared" si="3"/>
        <v>-36450000</v>
      </c>
      <c r="J64" s="53">
        <f t="shared" si="4"/>
        <v>0</v>
      </c>
      <c r="K64" s="53">
        <f t="shared" si="5"/>
        <v>-36450000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725</v>
      </c>
      <c r="H65" s="36">
        <f t="shared" si="2"/>
        <v>0</v>
      </c>
      <c r="I65" s="11">
        <f t="shared" si="3"/>
        <v>-145000000</v>
      </c>
      <c r="J65" s="53">
        <f t="shared" si="4"/>
        <v>0</v>
      </c>
      <c r="K65" s="53">
        <f t="shared" si="5"/>
        <v>-145000000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722</v>
      </c>
      <c r="H66" s="36">
        <f t="shared" si="2"/>
        <v>0</v>
      </c>
      <c r="I66" s="11">
        <f t="shared" si="3"/>
        <v>-122740000</v>
      </c>
      <c r="J66" s="53">
        <f t="shared" si="4"/>
        <v>0</v>
      </c>
      <c r="K66" s="53">
        <f t="shared" si="5"/>
        <v>-122740000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721</v>
      </c>
      <c r="H67" s="36">
        <f t="shared" ref="H67:H131" si="8">IF(B67&gt;0,1,0)</f>
        <v>1</v>
      </c>
      <c r="I67" s="11">
        <f t="shared" ref="I67:I119" si="9">B67*(G67-H67)</f>
        <v>65754000</v>
      </c>
      <c r="J67" s="53">
        <f t="shared" ref="J67:J131" si="10">C67*(G67-H67)</f>
        <v>47320560</v>
      </c>
      <c r="K67" s="53">
        <f t="shared" ref="K67:K131" si="11">D67*(G67-H67)</f>
        <v>18433440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703</v>
      </c>
      <c r="H68" s="36">
        <f t="shared" si="8"/>
        <v>0</v>
      </c>
      <c r="I68" s="11">
        <f t="shared" si="9"/>
        <v>-101935000</v>
      </c>
      <c r="J68" s="53">
        <f t="shared" si="10"/>
        <v>0</v>
      </c>
      <c r="K68" s="53">
        <f t="shared" si="11"/>
        <v>-101935000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696</v>
      </c>
      <c r="H69" s="36">
        <f t="shared" si="8"/>
        <v>1</v>
      </c>
      <c r="I69" s="11">
        <f t="shared" si="9"/>
        <v>681100000</v>
      </c>
      <c r="J69" s="53">
        <f t="shared" si="10"/>
        <v>0</v>
      </c>
      <c r="K69" s="53">
        <f t="shared" si="11"/>
        <v>681100000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693</v>
      </c>
      <c r="H70" s="36">
        <f t="shared" si="8"/>
        <v>0</v>
      </c>
      <c r="I70" s="11">
        <f t="shared" si="9"/>
        <v>-31878000</v>
      </c>
      <c r="J70" s="53">
        <f t="shared" si="10"/>
        <v>0</v>
      </c>
      <c r="K70" s="53">
        <f t="shared" si="11"/>
        <v>-31878000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691</v>
      </c>
      <c r="H71" s="36">
        <f t="shared" si="8"/>
        <v>1</v>
      </c>
      <c r="I71" s="11">
        <f t="shared" si="9"/>
        <v>79583220</v>
      </c>
      <c r="J71" s="53">
        <f t="shared" si="10"/>
        <v>71630280</v>
      </c>
      <c r="K71" s="53">
        <f t="shared" si="11"/>
        <v>7952940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690</v>
      </c>
      <c r="H72" s="36">
        <f t="shared" si="8"/>
        <v>0</v>
      </c>
      <c r="I72" s="11">
        <f t="shared" si="9"/>
        <v>-104858610</v>
      </c>
      <c r="J72" s="53">
        <f t="shared" si="10"/>
        <v>0</v>
      </c>
      <c r="K72" s="53">
        <f t="shared" si="11"/>
        <v>-104858610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689</v>
      </c>
      <c r="H73" s="36">
        <f t="shared" si="8"/>
        <v>0</v>
      </c>
      <c r="I73" s="11">
        <f t="shared" si="9"/>
        <v>-554989500</v>
      </c>
      <c r="J73" s="53">
        <f t="shared" si="10"/>
        <v>0</v>
      </c>
      <c r="K73" s="53">
        <f t="shared" si="11"/>
        <v>-554989500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682</v>
      </c>
      <c r="H74" s="36">
        <f t="shared" si="8"/>
        <v>1</v>
      </c>
      <c r="I74" s="11">
        <f t="shared" si="9"/>
        <v>4763595000</v>
      </c>
      <c r="J74" s="53">
        <f t="shared" si="10"/>
        <v>0</v>
      </c>
      <c r="K74" s="53">
        <f t="shared" si="11"/>
        <v>4763595000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681</v>
      </c>
      <c r="H75" s="36">
        <f t="shared" si="8"/>
        <v>1</v>
      </c>
      <c r="I75" s="11">
        <f t="shared" si="9"/>
        <v>2040000000</v>
      </c>
      <c r="J75" s="53">
        <f t="shared" si="10"/>
        <v>0</v>
      </c>
      <c r="K75" s="53">
        <f t="shared" si="11"/>
        <v>2040000000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679</v>
      </c>
      <c r="H76" s="36">
        <f t="shared" si="8"/>
        <v>1</v>
      </c>
      <c r="I76" s="11">
        <f t="shared" si="9"/>
        <v>2034000000</v>
      </c>
      <c r="J76" s="53">
        <f t="shared" si="10"/>
        <v>0</v>
      </c>
      <c r="K76" s="53">
        <f t="shared" si="11"/>
        <v>2034000000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678</v>
      </c>
      <c r="H77" s="36">
        <f t="shared" si="8"/>
        <v>1</v>
      </c>
      <c r="I77" s="11">
        <f t="shared" si="9"/>
        <v>2031000000</v>
      </c>
      <c r="J77" s="53">
        <f t="shared" si="10"/>
        <v>0</v>
      </c>
      <c r="K77" s="53">
        <f t="shared" si="11"/>
        <v>2031000000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677</v>
      </c>
      <c r="H78" s="36">
        <f t="shared" si="8"/>
        <v>0</v>
      </c>
      <c r="I78" s="11">
        <f t="shared" si="9"/>
        <v>-2166400000</v>
      </c>
      <c r="J78" s="53">
        <f t="shared" si="10"/>
        <v>-2166400000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676</v>
      </c>
      <c r="H79" s="36">
        <f t="shared" si="8"/>
        <v>0</v>
      </c>
      <c r="I79" s="11">
        <f t="shared" si="9"/>
        <v>-540800000</v>
      </c>
      <c r="J79" s="53">
        <f t="shared" si="10"/>
        <v>-540800000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675</v>
      </c>
      <c r="H80" s="36">
        <f t="shared" si="8"/>
        <v>0</v>
      </c>
      <c r="I80" s="11">
        <f t="shared" si="9"/>
        <v>-32665275</v>
      </c>
      <c r="J80" s="53">
        <f t="shared" si="10"/>
        <v>0</v>
      </c>
      <c r="K80" s="53">
        <f t="shared" si="11"/>
        <v>-32665275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674</v>
      </c>
      <c r="H81" s="36">
        <f t="shared" si="8"/>
        <v>0</v>
      </c>
      <c r="I81" s="11">
        <f t="shared" si="9"/>
        <v>-94360000</v>
      </c>
      <c r="J81" s="53">
        <f t="shared" si="10"/>
        <v>0</v>
      </c>
      <c r="K81" s="53">
        <f t="shared" si="11"/>
        <v>-94360000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673</v>
      </c>
      <c r="H82" s="36">
        <f t="shared" si="8"/>
        <v>0</v>
      </c>
      <c r="I82" s="11">
        <f t="shared" si="9"/>
        <v>-168250000</v>
      </c>
      <c r="J82" s="53">
        <f t="shared" si="10"/>
        <v>0</v>
      </c>
      <c r="K82" s="53">
        <f t="shared" si="11"/>
        <v>-168250000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672</v>
      </c>
      <c r="H83" s="36">
        <f t="shared" si="8"/>
        <v>0</v>
      </c>
      <c r="I83" s="11">
        <f t="shared" si="9"/>
        <v>-134400000</v>
      </c>
      <c r="J83" s="53">
        <f t="shared" si="10"/>
        <v>0</v>
      </c>
      <c r="K83" s="53">
        <f t="shared" si="11"/>
        <v>-134400000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669</v>
      </c>
      <c r="H84" s="36">
        <f t="shared" si="8"/>
        <v>1</v>
      </c>
      <c r="I84" s="11">
        <f t="shared" si="9"/>
        <v>1092313600</v>
      </c>
      <c r="J84" s="53">
        <f t="shared" si="10"/>
        <v>0</v>
      </c>
      <c r="K84" s="53">
        <f t="shared" si="11"/>
        <v>1092313600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665</v>
      </c>
      <c r="H85" s="36">
        <f t="shared" si="8"/>
        <v>1</v>
      </c>
      <c r="I85" s="11">
        <f t="shared" si="9"/>
        <v>1660000000</v>
      </c>
      <c r="J85" s="53">
        <f t="shared" si="10"/>
        <v>0</v>
      </c>
      <c r="K85" s="53">
        <f t="shared" si="11"/>
        <v>1660000000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661</v>
      </c>
      <c r="H86" s="36">
        <f t="shared" si="8"/>
        <v>1</v>
      </c>
      <c r="I86" s="11">
        <f t="shared" si="9"/>
        <v>122958000</v>
      </c>
      <c r="J86" s="53">
        <f t="shared" si="10"/>
        <v>56067000</v>
      </c>
      <c r="K86" s="53">
        <f t="shared" si="11"/>
        <v>66891000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658</v>
      </c>
      <c r="H87" s="36">
        <f t="shared" si="8"/>
        <v>0</v>
      </c>
      <c r="I87" s="11">
        <f t="shared" si="9"/>
        <v>-131600000</v>
      </c>
      <c r="J87" s="53">
        <f t="shared" si="10"/>
        <v>0</v>
      </c>
      <c r="K87" s="53">
        <f t="shared" si="11"/>
        <v>-131600000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657</v>
      </c>
      <c r="H88" s="36">
        <f t="shared" si="8"/>
        <v>0</v>
      </c>
      <c r="I88" s="11">
        <f t="shared" si="9"/>
        <v>-77526000</v>
      </c>
      <c r="J88" s="53">
        <f t="shared" si="10"/>
        <v>-45333000</v>
      </c>
      <c r="K88" s="53">
        <f t="shared" si="11"/>
        <v>-32193000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649</v>
      </c>
      <c r="H89" s="36">
        <f t="shared" si="8"/>
        <v>0</v>
      </c>
      <c r="I89" s="11">
        <f t="shared" si="9"/>
        <v>-2077384100</v>
      </c>
      <c r="J89" s="53">
        <f t="shared" si="10"/>
        <v>0</v>
      </c>
      <c r="K89" s="53">
        <f t="shared" si="11"/>
        <v>-2077384100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648</v>
      </c>
      <c r="H90" s="36">
        <f t="shared" si="8"/>
        <v>0</v>
      </c>
      <c r="I90" s="11">
        <f t="shared" si="9"/>
        <v>-2074183200</v>
      </c>
      <c r="J90" s="53">
        <f t="shared" si="10"/>
        <v>0</v>
      </c>
      <c r="K90" s="53">
        <f t="shared" si="11"/>
        <v>-2074183200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647</v>
      </c>
      <c r="H91" s="36">
        <f t="shared" si="8"/>
        <v>0</v>
      </c>
      <c r="I91" s="11">
        <f t="shared" si="9"/>
        <v>-2070982300</v>
      </c>
      <c r="J91" s="53">
        <f t="shared" si="10"/>
        <v>0</v>
      </c>
      <c r="K91" s="53">
        <f t="shared" si="11"/>
        <v>-2070982300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646</v>
      </c>
      <c r="H92" s="36">
        <f t="shared" si="8"/>
        <v>0</v>
      </c>
      <c r="I92" s="11">
        <f t="shared" si="9"/>
        <v>-2067781400</v>
      </c>
      <c r="J92" s="53">
        <f t="shared" si="10"/>
        <v>0</v>
      </c>
      <c r="K92" s="53">
        <f t="shared" si="11"/>
        <v>-2067781400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645</v>
      </c>
      <c r="H93" s="36">
        <f t="shared" si="8"/>
        <v>0</v>
      </c>
      <c r="I93" s="11">
        <f t="shared" si="9"/>
        <v>-2064580500</v>
      </c>
      <c r="J93" s="53">
        <f t="shared" si="10"/>
        <v>0</v>
      </c>
      <c r="K93" s="53">
        <f t="shared" si="11"/>
        <v>-2064580500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644</v>
      </c>
      <c r="H94" s="36">
        <f t="shared" si="8"/>
        <v>0</v>
      </c>
      <c r="I94" s="11">
        <f t="shared" si="9"/>
        <v>-2061379600</v>
      </c>
      <c r="J94" s="53">
        <f t="shared" si="10"/>
        <v>0</v>
      </c>
      <c r="K94" s="53">
        <f t="shared" si="11"/>
        <v>-2061379600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642</v>
      </c>
      <c r="H95" s="36">
        <f t="shared" si="8"/>
        <v>0</v>
      </c>
      <c r="I95" s="11">
        <f t="shared" si="9"/>
        <v>-768214632</v>
      </c>
      <c r="J95" s="53">
        <f t="shared" si="10"/>
        <v>0</v>
      </c>
      <c r="K95" s="53">
        <f t="shared" si="11"/>
        <v>-768214632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632</v>
      </c>
      <c r="H96" s="36">
        <f t="shared" si="8"/>
        <v>0</v>
      </c>
      <c r="I96" s="11">
        <f t="shared" si="9"/>
        <v>-126400000</v>
      </c>
      <c r="J96" s="53">
        <f t="shared" si="10"/>
        <v>0</v>
      </c>
      <c r="K96" s="53">
        <f t="shared" si="11"/>
        <v>-126400000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631</v>
      </c>
      <c r="H97" s="36">
        <f t="shared" si="8"/>
        <v>1</v>
      </c>
      <c r="I97" s="11">
        <f t="shared" si="9"/>
        <v>100521540</v>
      </c>
      <c r="J97" s="53">
        <f t="shared" si="10"/>
        <v>43423380</v>
      </c>
      <c r="K97" s="53">
        <f t="shared" si="11"/>
        <v>57098160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626</v>
      </c>
      <c r="H98" s="36">
        <f t="shared" si="8"/>
        <v>1</v>
      </c>
      <c r="I98" s="11">
        <f t="shared" si="9"/>
        <v>71480000</v>
      </c>
      <c r="J98" s="53">
        <f t="shared" si="10"/>
        <v>0</v>
      </c>
      <c r="K98" s="53">
        <f t="shared" si="11"/>
        <v>71480000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623</v>
      </c>
      <c r="H99" s="36">
        <f t="shared" si="8"/>
        <v>0</v>
      </c>
      <c r="I99" s="11">
        <f t="shared" si="9"/>
        <v>-825475000</v>
      </c>
      <c r="J99" s="53">
        <f t="shared" si="10"/>
        <v>0</v>
      </c>
      <c r="K99" s="53">
        <f t="shared" si="11"/>
        <v>-825475000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618</v>
      </c>
      <c r="H100" s="36">
        <f t="shared" si="8"/>
        <v>1</v>
      </c>
      <c r="I100" s="11">
        <f t="shared" si="9"/>
        <v>817525000</v>
      </c>
      <c r="J100" s="53">
        <f t="shared" si="10"/>
        <v>0</v>
      </c>
      <c r="K100" s="53">
        <f t="shared" si="11"/>
        <v>817525000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601</v>
      </c>
      <c r="H101" s="36">
        <f t="shared" si="8"/>
        <v>1</v>
      </c>
      <c r="I101" s="11">
        <f t="shared" si="9"/>
        <v>40107000</v>
      </c>
      <c r="J101" s="53">
        <f t="shared" si="10"/>
        <v>40107000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598</v>
      </c>
      <c r="H102" s="36">
        <f t="shared" si="8"/>
        <v>1</v>
      </c>
      <c r="I102" s="11">
        <f t="shared" si="9"/>
        <v>1791000000</v>
      </c>
      <c r="J102" s="53">
        <f t="shared" si="10"/>
        <v>0</v>
      </c>
      <c r="K102" s="53">
        <f t="shared" si="11"/>
        <v>1791000000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591</v>
      </c>
      <c r="H103" s="36">
        <f t="shared" si="8"/>
        <v>0</v>
      </c>
      <c r="I103" s="11">
        <f t="shared" si="9"/>
        <v>-591000000</v>
      </c>
      <c r="J103" s="53">
        <f t="shared" si="10"/>
        <v>-591000000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581</v>
      </c>
      <c r="H104" s="36">
        <f t="shared" si="8"/>
        <v>1</v>
      </c>
      <c r="I104" s="11">
        <f t="shared" si="9"/>
        <v>1740000000</v>
      </c>
      <c r="J104" s="53">
        <f t="shared" si="10"/>
        <v>1740000000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580</v>
      </c>
      <c r="H105" s="36">
        <f t="shared" si="8"/>
        <v>1</v>
      </c>
      <c r="I105" s="11">
        <f t="shared" si="9"/>
        <v>648480000</v>
      </c>
      <c r="J105" s="53">
        <f t="shared" si="10"/>
        <v>648480000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580</v>
      </c>
      <c r="H106" s="36">
        <f t="shared" si="8"/>
        <v>0</v>
      </c>
      <c r="I106" s="11">
        <f t="shared" si="9"/>
        <v>-1740000000</v>
      </c>
      <c r="J106" s="53">
        <f t="shared" si="10"/>
        <v>0</v>
      </c>
      <c r="K106" s="53">
        <f t="shared" si="11"/>
        <v>-1740000000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571</v>
      </c>
      <c r="H107" s="36">
        <f t="shared" si="8"/>
        <v>1</v>
      </c>
      <c r="I107" s="11">
        <f t="shared" si="9"/>
        <v>51581580</v>
      </c>
      <c r="J107" s="53">
        <f t="shared" si="10"/>
        <v>42815550</v>
      </c>
      <c r="K107" s="53">
        <f t="shared" si="11"/>
        <v>8766030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569</v>
      </c>
      <c r="H108" s="36">
        <f t="shared" si="8"/>
        <v>0</v>
      </c>
      <c r="I108" s="11">
        <f t="shared" si="9"/>
        <v>-967698300</v>
      </c>
      <c r="J108" s="53">
        <f t="shared" si="10"/>
        <v>0</v>
      </c>
      <c r="K108" s="53">
        <f t="shared" si="11"/>
        <v>-967698300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565</v>
      </c>
      <c r="H109" s="36">
        <f t="shared" si="8"/>
        <v>0</v>
      </c>
      <c r="I109" s="11">
        <f t="shared" si="9"/>
        <v>-565282500</v>
      </c>
      <c r="J109" s="53">
        <f t="shared" si="10"/>
        <v>0</v>
      </c>
      <c r="K109" s="53">
        <f t="shared" si="11"/>
        <v>-565282500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562</v>
      </c>
      <c r="H110" s="36">
        <f t="shared" si="8"/>
        <v>1</v>
      </c>
      <c r="I110" s="11">
        <f t="shared" si="9"/>
        <v>11220000000</v>
      </c>
      <c r="J110" s="53">
        <f t="shared" si="10"/>
        <v>0</v>
      </c>
      <c r="K110" s="53">
        <f t="shared" si="11"/>
        <v>11220000000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542</v>
      </c>
      <c r="H111" s="36">
        <f t="shared" si="8"/>
        <v>1</v>
      </c>
      <c r="I111" s="11">
        <f t="shared" si="9"/>
        <v>94500798</v>
      </c>
      <c r="J111" s="53">
        <f t="shared" si="10"/>
        <v>47263383</v>
      </c>
      <c r="K111" s="53">
        <f t="shared" si="11"/>
        <v>47237415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526</v>
      </c>
      <c r="H112" s="36">
        <f t="shared" si="8"/>
        <v>0</v>
      </c>
      <c r="I112" s="11">
        <f t="shared" si="9"/>
        <v>-14938400000</v>
      </c>
      <c r="J112" s="53">
        <f t="shared" si="10"/>
        <v>0</v>
      </c>
      <c r="K112" s="53">
        <f t="shared" si="11"/>
        <v>-14938400000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511</v>
      </c>
      <c r="H113" s="36">
        <f t="shared" si="8"/>
        <v>1</v>
      </c>
      <c r="I113" s="11">
        <f t="shared" si="9"/>
        <v>83150400</v>
      </c>
      <c r="J113" s="53">
        <f t="shared" si="10"/>
        <v>62480610</v>
      </c>
      <c r="K113" s="53">
        <f t="shared" si="11"/>
        <v>20669790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511</v>
      </c>
      <c r="H114" s="36">
        <f t="shared" si="8"/>
        <v>0</v>
      </c>
      <c r="I114" s="11">
        <f t="shared" si="9"/>
        <v>-2912700</v>
      </c>
      <c r="J114" s="53">
        <f t="shared" si="10"/>
        <v>-1277500</v>
      </c>
      <c r="K114" s="53">
        <f t="shared" si="11"/>
        <v>-1635200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498</v>
      </c>
      <c r="H115" s="36">
        <f t="shared" si="8"/>
        <v>0</v>
      </c>
      <c r="I115" s="11">
        <f t="shared" si="9"/>
        <v>0</v>
      </c>
      <c r="J115" s="53">
        <f t="shared" si="10"/>
        <v>249000000</v>
      </c>
      <c r="K115" s="53">
        <f t="shared" si="11"/>
        <v>-249000000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490</v>
      </c>
      <c r="H116" s="36">
        <f t="shared" si="8"/>
        <v>0</v>
      </c>
      <c r="I116" s="11">
        <f t="shared" si="9"/>
        <v>-78400000</v>
      </c>
      <c r="J116" s="53">
        <f t="shared" si="10"/>
        <v>0</v>
      </c>
      <c r="K116" s="53">
        <f t="shared" si="11"/>
        <v>-78400000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481</v>
      </c>
      <c r="H117" s="36">
        <f t="shared" si="8"/>
        <v>1</v>
      </c>
      <c r="I117" s="11">
        <f t="shared" si="9"/>
        <v>710400</v>
      </c>
      <c r="J117" s="53">
        <f t="shared" si="10"/>
        <v>51331680</v>
      </c>
      <c r="K117" s="53">
        <f t="shared" si="11"/>
        <v>-50621280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459</v>
      </c>
      <c r="H118" s="36">
        <f t="shared" si="8"/>
        <v>1</v>
      </c>
      <c r="I118" s="11">
        <f t="shared" si="9"/>
        <v>18044971000</v>
      </c>
      <c r="J118" s="53">
        <f t="shared" si="10"/>
        <v>0</v>
      </c>
      <c r="K118" s="53">
        <f t="shared" si="11"/>
        <v>18044971000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450</v>
      </c>
      <c r="H119" s="36">
        <f t="shared" si="8"/>
        <v>1</v>
      </c>
      <c r="I119" s="11">
        <f t="shared" si="9"/>
        <v>42888929</v>
      </c>
      <c r="J119" s="53">
        <f t="shared" si="10"/>
        <v>49414246</v>
      </c>
      <c r="K119" s="53">
        <f t="shared" si="11"/>
        <v>-6525317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446</v>
      </c>
      <c r="H120" s="11">
        <f t="shared" si="8"/>
        <v>1</v>
      </c>
      <c r="I120" s="11">
        <f t="shared" ref="I120:I206" si="13">B120*(G120-H120)</f>
        <v>890000000</v>
      </c>
      <c r="J120" s="11">
        <f t="shared" si="10"/>
        <v>0</v>
      </c>
      <c r="K120" s="11">
        <f t="shared" si="11"/>
        <v>890000000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420</v>
      </c>
      <c r="H121" s="11">
        <f t="shared" si="8"/>
        <v>1</v>
      </c>
      <c r="I121" s="11">
        <f t="shared" si="13"/>
        <v>1089400000</v>
      </c>
      <c r="J121" s="11">
        <f t="shared" si="10"/>
        <v>0</v>
      </c>
      <c r="K121" s="11">
        <f t="shared" si="11"/>
        <v>1089400000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419</v>
      </c>
      <c r="H122" s="11">
        <f t="shared" si="8"/>
        <v>1</v>
      </c>
      <c r="I122" s="11">
        <f t="shared" si="13"/>
        <v>160742318</v>
      </c>
      <c r="J122" s="11">
        <f t="shared" si="10"/>
        <v>46359544</v>
      </c>
      <c r="K122" s="11">
        <f t="shared" si="11"/>
        <v>114382774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418</v>
      </c>
      <c r="H123" s="11">
        <f t="shared" si="8"/>
        <v>0</v>
      </c>
      <c r="I123" s="11">
        <f t="shared" si="13"/>
        <v>0</v>
      </c>
      <c r="J123" s="11">
        <f t="shared" si="10"/>
        <v>334400000</v>
      </c>
      <c r="K123" s="11">
        <f t="shared" si="11"/>
        <v>-334400000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404</v>
      </c>
      <c r="H124" s="11">
        <f t="shared" si="8"/>
        <v>0</v>
      </c>
      <c r="I124" s="11">
        <f t="shared" si="13"/>
        <v>-1212000000</v>
      </c>
      <c r="J124" s="11">
        <f t="shared" si="10"/>
        <v>0</v>
      </c>
      <c r="K124" s="11">
        <f t="shared" si="11"/>
        <v>-1212000000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389</v>
      </c>
      <c r="H125" s="11">
        <f t="shared" si="8"/>
        <v>1</v>
      </c>
      <c r="I125" s="11">
        <f t="shared" si="13"/>
        <v>155475480</v>
      </c>
      <c r="J125" s="11">
        <f t="shared" si="10"/>
        <v>46123500</v>
      </c>
      <c r="K125" s="11">
        <f t="shared" si="11"/>
        <v>109351980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389</v>
      </c>
      <c r="H126" s="11">
        <f t="shared" si="8"/>
        <v>1</v>
      </c>
      <c r="I126" s="11">
        <f t="shared" si="13"/>
        <v>16296000000</v>
      </c>
      <c r="J126" s="11">
        <f t="shared" si="10"/>
        <v>0</v>
      </c>
      <c r="K126" s="11">
        <f t="shared" si="11"/>
        <v>16296000000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364</v>
      </c>
      <c r="H127" s="11">
        <f t="shared" si="8"/>
        <v>0</v>
      </c>
      <c r="I127" s="11">
        <f t="shared" si="13"/>
        <v>-1820000</v>
      </c>
      <c r="J127" s="11">
        <f t="shared" si="10"/>
        <v>0</v>
      </c>
      <c r="K127" s="11">
        <f t="shared" si="11"/>
        <v>-1820000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358</v>
      </c>
      <c r="H128" s="11">
        <f t="shared" si="8"/>
        <v>1</v>
      </c>
      <c r="I128" s="11">
        <f t="shared" si="13"/>
        <v>275380518</v>
      </c>
      <c r="J128" s="11">
        <f t="shared" si="10"/>
        <v>43088829</v>
      </c>
      <c r="K128" s="11">
        <f t="shared" si="11"/>
        <v>232291689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355</v>
      </c>
      <c r="H129" s="11">
        <f t="shared" si="8"/>
        <v>1</v>
      </c>
      <c r="I129" s="11">
        <f t="shared" si="13"/>
        <v>885000000</v>
      </c>
      <c r="J129" s="11">
        <f t="shared" si="10"/>
        <v>0</v>
      </c>
      <c r="K129" s="11">
        <f t="shared" si="11"/>
        <v>885000000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341</v>
      </c>
      <c r="H130" s="11">
        <f t="shared" si="8"/>
        <v>0</v>
      </c>
      <c r="I130" s="11">
        <f t="shared" si="13"/>
        <v>-341000000</v>
      </c>
      <c r="J130" s="11">
        <f t="shared" si="10"/>
        <v>-341000000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336</v>
      </c>
      <c r="H131" s="11">
        <f t="shared" si="8"/>
        <v>0</v>
      </c>
      <c r="I131" s="11">
        <f t="shared" si="13"/>
        <v>-16800000000</v>
      </c>
      <c r="J131" s="11">
        <f t="shared" si="10"/>
        <v>0</v>
      </c>
      <c r="K131" s="11">
        <f t="shared" si="11"/>
        <v>-16800000000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328</v>
      </c>
      <c r="H132" s="11">
        <f t="shared" ref="H132:H206" si="15">IF(B132&gt;0,1,0)</f>
        <v>1</v>
      </c>
      <c r="I132" s="11">
        <f t="shared" si="13"/>
        <v>200871849</v>
      </c>
      <c r="J132" s="11">
        <f t="shared" ref="J132:J206" si="16">C132*(G132-H132)</f>
        <v>34652517</v>
      </c>
      <c r="K132" s="11">
        <f t="shared" ref="K132:K206" si="17">D132*(G132-H132)</f>
        <v>166219332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324</v>
      </c>
      <c r="H133" s="11">
        <f t="shared" si="15"/>
        <v>0</v>
      </c>
      <c r="I133" s="11">
        <f t="shared" si="13"/>
        <v>-392266800</v>
      </c>
      <c r="J133" s="11">
        <f t="shared" si="16"/>
        <v>0</v>
      </c>
      <c r="K133" s="11">
        <f t="shared" si="17"/>
        <v>-392266800</v>
      </c>
    </row>
    <row r="134" spans="1:13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315</v>
      </c>
      <c r="H134" s="11">
        <f t="shared" si="15"/>
        <v>0</v>
      </c>
      <c r="I134" s="11">
        <f t="shared" si="13"/>
        <v>-20475000</v>
      </c>
      <c r="J134" s="11">
        <f t="shared" si="16"/>
        <v>0</v>
      </c>
      <c r="K134" s="11">
        <f t="shared" si="17"/>
        <v>-20475000</v>
      </c>
    </row>
    <row r="135" spans="1:13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315</v>
      </c>
      <c r="H135" s="11">
        <f t="shared" si="15"/>
        <v>0</v>
      </c>
      <c r="I135" s="11">
        <f t="shared" si="13"/>
        <v>-10174500</v>
      </c>
      <c r="J135" s="11">
        <f t="shared" si="16"/>
        <v>0</v>
      </c>
      <c r="K135" s="11">
        <f t="shared" si="17"/>
        <v>-10174500</v>
      </c>
    </row>
    <row r="136" spans="1:13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307</v>
      </c>
      <c r="H136" s="11">
        <f t="shared" si="15"/>
        <v>0</v>
      </c>
      <c r="I136" s="11">
        <f t="shared" si="13"/>
        <v>-307000000</v>
      </c>
      <c r="J136" s="11">
        <f t="shared" si="16"/>
        <v>-307000000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298</v>
      </c>
      <c r="H137" s="11">
        <f t="shared" si="15"/>
        <v>1</v>
      </c>
      <c r="I137" s="11">
        <f t="shared" si="13"/>
        <v>86389281</v>
      </c>
      <c r="J137" s="11">
        <f t="shared" si="16"/>
        <v>28915623</v>
      </c>
      <c r="K137" s="11">
        <f t="shared" si="17"/>
        <v>57473658</v>
      </c>
    </row>
    <row r="138" spans="1:13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281</v>
      </c>
      <c r="H138" s="11">
        <f t="shared" si="15"/>
        <v>0</v>
      </c>
      <c r="I138" s="11">
        <f t="shared" si="13"/>
        <v>-281140500</v>
      </c>
      <c r="J138" s="11">
        <f t="shared" si="16"/>
        <v>-281140500</v>
      </c>
      <c r="K138" s="11">
        <f t="shared" si="17"/>
        <v>0</v>
      </c>
    </row>
    <row r="139" spans="1:13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269</v>
      </c>
      <c r="H139" s="11">
        <f t="shared" si="15"/>
        <v>1</v>
      </c>
      <c r="I139" s="11">
        <f t="shared" si="13"/>
        <v>75640320</v>
      </c>
      <c r="J139" s="11">
        <f t="shared" si="16"/>
        <v>23800276</v>
      </c>
      <c r="K139" s="11">
        <f t="shared" si="17"/>
        <v>51840044</v>
      </c>
    </row>
    <row r="140" spans="1:13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266</v>
      </c>
      <c r="H140" s="11">
        <f t="shared" si="15"/>
        <v>1</v>
      </c>
      <c r="I140" s="11">
        <f t="shared" si="13"/>
        <v>397500000</v>
      </c>
      <c r="J140" s="11">
        <f t="shared" si="16"/>
        <v>0</v>
      </c>
      <c r="K140" s="11">
        <f t="shared" si="17"/>
        <v>397500000</v>
      </c>
    </row>
    <row r="141" spans="1:13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253</v>
      </c>
      <c r="H141" s="11">
        <f t="shared" si="15"/>
        <v>0</v>
      </c>
      <c r="I141" s="11">
        <f t="shared" si="13"/>
        <v>0</v>
      </c>
      <c r="J141" s="11">
        <f t="shared" si="16"/>
        <v>-253000000</v>
      </c>
      <c r="K141" s="11">
        <f t="shared" si="17"/>
        <v>253000000</v>
      </c>
    </row>
    <row r="142" spans="1:13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239</v>
      </c>
      <c r="H142" s="11">
        <f t="shared" si="15"/>
        <v>1</v>
      </c>
      <c r="I142" s="11">
        <f t="shared" si="13"/>
        <v>69232534</v>
      </c>
      <c r="J142" s="11">
        <f t="shared" si="16"/>
        <v>19283236</v>
      </c>
      <c r="K142" s="11">
        <f t="shared" si="17"/>
        <v>49949298</v>
      </c>
    </row>
    <row r="143" spans="1:13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219</v>
      </c>
      <c r="H143" s="11">
        <f t="shared" si="15"/>
        <v>0</v>
      </c>
      <c r="I143" s="11">
        <f t="shared" si="13"/>
        <v>0</v>
      </c>
      <c r="J143" s="11">
        <f t="shared" si="16"/>
        <v>-219000000</v>
      </c>
      <c r="K143" s="11">
        <f t="shared" si="17"/>
        <v>219000000</v>
      </c>
      <c r="M143" t="s">
        <v>25</v>
      </c>
    </row>
    <row r="144" spans="1:13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209</v>
      </c>
      <c r="H144" s="11">
        <f t="shared" si="15"/>
        <v>1</v>
      </c>
      <c r="I144" s="11">
        <f t="shared" si="13"/>
        <v>61329216</v>
      </c>
      <c r="J144" s="11">
        <f t="shared" si="16"/>
        <v>15528656</v>
      </c>
      <c r="K144" s="11">
        <f t="shared" si="17"/>
        <v>45800560</v>
      </c>
    </row>
    <row r="145" spans="1:11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194</v>
      </c>
      <c r="H145" s="11">
        <f t="shared" si="15"/>
        <v>0</v>
      </c>
      <c r="I145" s="11">
        <f t="shared" si="13"/>
        <v>-1940000</v>
      </c>
      <c r="J145" s="11">
        <f t="shared" si="16"/>
        <v>-970000</v>
      </c>
      <c r="K145" s="11">
        <f t="shared" si="17"/>
        <v>-970000</v>
      </c>
    </row>
    <row r="146" spans="1:11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189</v>
      </c>
      <c r="H146" s="11">
        <f t="shared" si="15"/>
        <v>0</v>
      </c>
      <c r="I146" s="11">
        <f t="shared" si="13"/>
        <v>-189094500</v>
      </c>
      <c r="J146" s="11">
        <f t="shared" si="16"/>
        <v>-189094500</v>
      </c>
      <c r="K146" s="11">
        <f t="shared" si="17"/>
        <v>0</v>
      </c>
    </row>
    <row r="147" spans="1:11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183</v>
      </c>
      <c r="H147" s="11">
        <f t="shared" si="15"/>
        <v>0</v>
      </c>
      <c r="I147" s="11">
        <f t="shared" si="13"/>
        <v>-4941000000</v>
      </c>
      <c r="J147" s="11">
        <f t="shared" si="16"/>
        <v>0</v>
      </c>
      <c r="K147" s="11">
        <f t="shared" si="17"/>
        <v>-4941000000</v>
      </c>
    </row>
    <row r="148" spans="1:11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180</v>
      </c>
      <c r="H148" s="11">
        <f t="shared" si="15"/>
        <v>1</v>
      </c>
      <c r="I148" s="11">
        <f t="shared" si="13"/>
        <v>45186044</v>
      </c>
      <c r="J148" s="11">
        <f t="shared" si="16"/>
        <v>11726290</v>
      </c>
      <c r="K148" s="11">
        <f t="shared" si="17"/>
        <v>33459754</v>
      </c>
    </row>
    <row r="149" spans="1:11">
      <c r="A149" s="11" t="s">
        <v>1075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1076</v>
      </c>
      <c r="F149" s="11">
        <v>7</v>
      </c>
      <c r="G149" s="36">
        <f t="shared" si="14"/>
        <v>172</v>
      </c>
      <c r="H149" s="11">
        <f t="shared" si="15"/>
        <v>1</v>
      </c>
      <c r="I149" s="11">
        <f t="shared" si="13"/>
        <v>8960400000</v>
      </c>
      <c r="J149" s="11">
        <f t="shared" si="16"/>
        <v>0</v>
      </c>
      <c r="K149" s="11">
        <f t="shared" si="17"/>
        <v>8960400000</v>
      </c>
    </row>
    <row r="150" spans="1:11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165</v>
      </c>
      <c r="H150" s="11">
        <f t="shared" si="15"/>
        <v>0</v>
      </c>
      <c r="I150" s="11">
        <f t="shared" si="13"/>
        <v>-8580000000</v>
      </c>
      <c r="J150" s="11">
        <f t="shared" si="16"/>
        <v>0</v>
      </c>
      <c r="K150" s="11">
        <f t="shared" si="17"/>
        <v>-8580000000</v>
      </c>
    </row>
    <row r="151" spans="1:11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160</v>
      </c>
      <c r="H151" s="103">
        <f t="shared" si="15"/>
        <v>0</v>
      </c>
      <c r="I151" s="103">
        <f t="shared" si="13"/>
        <v>-1280000000</v>
      </c>
      <c r="J151" s="103">
        <f t="shared" si="16"/>
        <v>-1083540960</v>
      </c>
      <c r="K151" s="11">
        <f t="shared" si="17"/>
        <v>-196459040</v>
      </c>
    </row>
    <row r="152" spans="1:11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160</v>
      </c>
      <c r="H152" s="103">
        <f t="shared" si="15"/>
        <v>0</v>
      </c>
      <c r="I152" s="103">
        <f t="shared" si="13"/>
        <v>-4996800</v>
      </c>
      <c r="J152" s="103">
        <f t="shared" si="16"/>
        <v>0</v>
      </c>
      <c r="K152" s="103">
        <f t="shared" si="17"/>
        <v>-4996800</v>
      </c>
    </row>
    <row r="153" spans="1:11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149</v>
      </c>
      <c r="H153" s="103">
        <f t="shared" si="15"/>
        <v>1</v>
      </c>
      <c r="I153" s="103">
        <f t="shared" si="13"/>
        <v>19992876</v>
      </c>
      <c r="J153" s="103">
        <f t="shared" si="16"/>
        <v>6087240</v>
      </c>
      <c r="K153" s="103">
        <f t="shared" si="17"/>
        <v>13905636</v>
      </c>
    </row>
    <row r="154" spans="1:11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146</v>
      </c>
      <c r="H154" s="103">
        <f t="shared" si="15"/>
        <v>1</v>
      </c>
      <c r="I154" s="103">
        <f t="shared" si="13"/>
        <v>989491890</v>
      </c>
      <c r="J154" s="103">
        <f t="shared" si="16"/>
        <v>989491890</v>
      </c>
      <c r="K154" s="103">
        <f t="shared" si="17"/>
        <v>0</v>
      </c>
    </row>
    <row r="155" spans="1:11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141</v>
      </c>
      <c r="H155" s="103">
        <f t="shared" si="15"/>
        <v>0</v>
      </c>
      <c r="I155" s="103">
        <f t="shared" si="13"/>
        <v>-28200000</v>
      </c>
      <c r="J155" s="103">
        <f t="shared" si="16"/>
        <v>0</v>
      </c>
      <c r="K155" s="103">
        <f t="shared" si="17"/>
        <v>-28200000</v>
      </c>
    </row>
    <row r="156" spans="1:11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141</v>
      </c>
      <c r="H156" s="103">
        <f t="shared" si="15"/>
        <v>0</v>
      </c>
      <c r="I156" s="103">
        <f t="shared" si="13"/>
        <v>-34945440</v>
      </c>
      <c r="J156" s="103">
        <f t="shared" si="16"/>
        <v>0</v>
      </c>
      <c r="K156" s="103">
        <f t="shared" si="17"/>
        <v>-34945440</v>
      </c>
    </row>
    <row r="157" spans="1:11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140</v>
      </c>
      <c r="H157" s="103">
        <f t="shared" si="15"/>
        <v>0</v>
      </c>
      <c r="I157" s="103">
        <f t="shared" si="13"/>
        <v>-22727600</v>
      </c>
      <c r="J157" s="103">
        <f t="shared" si="16"/>
        <v>0</v>
      </c>
      <c r="K157" s="103">
        <f t="shared" si="17"/>
        <v>-22727600</v>
      </c>
    </row>
    <row r="158" spans="1:11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140</v>
      </c>
      <c r="H158" s="103">
        <f t="shared" si="15"/>
        <v>0</v>
      </c>
      <c r="I158" s="103">
        <f t="shared" si="13"/>
        <v>-420126000</v>
      </c>
      <c r="J158" s="103">
        <f t="shared" si="16"/>
        <v>0</v>
      </c>
      <c r="K158" s="103">
        <f t="shared" si="17"/>
        <v>-420126000</v>
      </c>
    </row>
    <row r="159" spans="1:11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138</v>
      </c>
      <c r="H159" s="103">
        <f t="shared" si="15"/>
        <v>0</v>
      </c>
      <c r="I159" s="103">
        <f t="shared" si="13"/>
        <v>-138069000</v>
      </c>
      <c r="J159" s="103">
        <f t="shared" si="16"/>
        <v>0</v>
      </c>
      <c r="K159" s="103">
        <f t="shared" si="17"/>
        <v>-138069000</v>
      </c>
    </row>
    <row r="160" spans="1:11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134</v>
      </c>
      <c r="H160" s="103">
        <f t="shared" si="15"/>
        <v>0</v>
      </c>
      <c r="I160" s="103">
        <f t="shared" si="13"/>
        <v>-13400000</v>
      </c>
      <c r="J160" s="103">
        <f t="shared" si="16"/>
        <v>0</v>
      </c>
      <c r="K160" s="103">
        <f t="shared" si="17"/>
        <v>-13400000</v>
      </c>
    </row>
    <row r="161" spans="1:13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133</v>
      </c>
      <c r="H161" s="103">
        <f t="shared" si="15"/>
        <v>0</v>
      </c>
      <c r="I161" s="103">
        <f t="shared" si="13"/>
        <v>-266000000</v>
      </c>
      <c r="J161" s="103">
        <f t="shared" si="16"/>
        <v>0</v>
      </c>
      <c r="K161" s="103">
        <f t="shared" si="17"/>
        <v>-266000000</v>
      </c>
    </row>
    <row r="162" spans="1:13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133</v>
      </c>
      <c r="H162" s="103">
        <f t="shared" si="15"/>
        <v>0</v>
      </c>
      <c r="I162" s="103">
        <f t="shared" si="13"/>
        <v>-133066500</v>
      </c>
      <c r="J162" s="103">
        <f t="shared" si="16"/>
        <v>0</v>
      </c>
      <c r="K162" s="103">
        <f t="shared" si="17"/>
        <v>-133066500</v>
      </c>
    </row>
    <row r="163" spans="1:13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130</v>
      </c>
      <c r="H163" s="103">
        <f t="shared" si="15"/>
        <v>0</v>
      </c>
      <c r="I163" s="103">
        <f t="shared" si="13"/>
        <v>-650000</v>
      </c>
      <c r="J163" s="103">
        <f t="shared" si="16"/>
        <v>0</v>
      </c>
      <c r="K163" s="103">
        <f t="shared" si="17"/>
        <v>-650000</v>
      </c>
    </row>
    <row r="164" spans="1:13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120</v>
      </c>
      <c r="H164" s="103">
        <f t="shared" si="15"/>
        <v>1</v>
      </c>
      <c r="I164" s="103">
        <f t="shared" si="13"/>
        <v>357000000</v>
      </c>
      <c r="J164" s="103">
        <f t="shared" si="16"/>
        <v>0</v>
      </c>
      <c r="K164" s="103">
        <f t="shared" si="17"/>
        <v>357000000</v>
      </c>
    </row>
    <row r="165" spans="1:13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119</v>
      </c>
      <c r="H165" s="103">
        <f t="shared" si="15"/>
        <v>1</v>
      </c>
      <c r="I165" s="103">
        <f t="shared" si="13"/>
        <v>354000000</v>
      </c>
      <c r="J165" s="103">
        <f t="shared" si="16"/>
        <v>0</v>
      </c>
      <c r="K165" s="103">
        <f t="shared" si="17"/>
        <v>354000000</v>
      </c>
    </row>
    <row r="166" spans="1:13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118</v>
      </c>
      <c r="H166" s="103">
        <f t="shared" si="15"/>
        <v>1</v>
      </c>
      <c r="I166" s="103">
        <f t="shared" si="13"/>
        <v>2376738</v>
      </c>
      <c r="J166" s="103">
        <f t="shared" si="16"/>
        <v>7001514</v>
      </c>
      <c r="K166" s="103">
        <f t="shared" si="17"/>
        <v>-4624776</v>
      </c>
    </row>
    <row r="167" spans="1:13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113</v>
      </c>
      <c r="H167" s="103">
        <f t="shared" si="15"/>
        <v>0</v>
      </c>
      <c r="I167" s="103">
        <f t="shared" si="13"/>
        <v>-339101700</v>
      </c>
      <c r="J167" s="103">
        <f t="shared" si="16"/>
        <v>0</v>
      </c>
      <c r="K167" s="103">
        <f t="shared" si="17"/>
        <v>-339101700</v>
      </c>
    </row>
    <row r="168" spans="1:13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95</v>
      </c>
      <c r="H168" s="103">
        <f t="shared" si="15"/>
        <v>0</v>
      </c>
      <c r="I168" s="103">
        <f t="shared" si="13"/>
        <v>-285085500</v>
      </c>
      <c r="J168" s="103">
        <f t="shared" si="16"/>
        <v>0</v>
      </c>
      <c r="K168" s="103">
        <f t="shared" si="17"/>
        <v>-285085500</v>
      </c>
      <c r="M168" t="s">
        <v>25</v>
      </c>
    </row>
    <row r="169" spans="1:13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87</v>
      </c>
      <c r="H169" s="103">
        <f t="shared" si="15"/>
        <v>1</v>
      </c>
      <c r="I169" s="103">
        <f t="shared" si="13"/>
        <v>1866630</v>
      </c>
      <c r="J169" s="103">
        <f t="shared" si="16"/>
        <v>5892290</v>
      </c>
      <c r="K169" s="103">
        <f t="shared" si="17"/>
        <v>-4025660</v>
      </c>
    </row>
    <row r="170" spans="1:13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63</v>
      </c>
      <c r="H170" s="103">
        <f t="shared" si="15"/>
        <v>1</v>
      </c>
      <c r="I170" s="103">
        <f t="shared" si="13"/>
        <v>310000000</v>
      </c>
      <c r="J170" s="103">
        <f t="shared" si="16"/>
        <v>0</v>
      </c>
      <c r="K170" s="103">
        <f t="shared" si="17"/>
        <v>310000000</v>
      </c>
    </row>
    <row r="171" spans="1:13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62</v>
      </c>
      <c r="H171" s="103">
        <f t="shared" si="15"/>
        <v>0</v>
      </c>
      <c r="I171" s="103">
        <f t="shared" si="13"/>
        <v>-310000000</v>
      </c>
      <c r="J171" s="103">
        <f t="shared" si="16"/>
        <v>0</v>
      </c>
      <c r="K171" s="103">
        <f t="shared" si="17"/>
        <v>-310000000</v>
      </c>
    </row>
    <row r="172" spans="1:13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56</v>
      </c>
      <c r="H172" s="103">
        <f t="shared" si="15"/>
        <v>1</v>
      </c>
      <c r="I172" s="103">
        <f t="shared" si="13"/>
        <v>27280</v>
      </c>
      <c r="J172" s="103">
        <f t="shared" si="16"/>
        <v>3447455</v>
      </c>
      <c r="K172" s="103">
        <f t="shared" si="17"/>
        <v>-3420175</v>
      </c>
    </row>
    <row r="173" spans="1:13">
      <c r="A173" s="103" t="s">
        <v>4021</v>
      </c>
      <c r="B173" s="18">
        <v>785000</v>
      </c>
      <c r="C173" s="18">
        <v>0</v>
      </c>
      <c r="D173" s="18">
        <f t="shared" si="18"/>
        <v>785000</v>
      </c>
      <c r="E173" s="103" t="s">
        <v>4022</v>
      </c>
      <c r="F173" s="103">
        <v>11</v>
      </c>
      <c r="G173" s="36">
        <f t="shared" si="14"/>
        <v>55</v>
      </c>
      <c r="H173" s="103">
        <f t="shared" si="15"/>
        <v>1</v>
      </c>
      <c r="I173" s="103">
        <f t="shared" si="13"/>
        <v>42390000</v>
      </c>
      <c r="J173" s="103">
        <f t="shared" si="16"/>
        <v>0</v>
      </c>
      <c r="K173" s="103">
        <f t="shared" si="17"/>
        <v>42390000</v>
      </c>
    </row>
    <row r="174" spans="1:13">
      <c r="A174" s="11" t="s">
        <v>4021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44</v>
      </c>
      <c r="H174" s="103">
        <f t="shared" si="15"/>
        <v>0</v>
      </c>
      <c r="I174" s="103">
        <f t="shared" si="13"/>
        <v>-1408000</v>
      </c>
      <c r="J174" s="103">
        <f t="shared" si="16"/>
        <v>0</v>
      </c>
      <c r="K174" s="103">
        <f t="shared" si="17"/>
        <v>-1408000</v>
      </c>
    </row>
    <row r="175" spans="1:13">
      <c r="A175" s="103" t="s">
        <v>4023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42</v>
      </c>
      <c r="H175" s="103">
        <f t="shared" si="15"/>
        <v>0</v>
      </c>
      <c r="I175" s="103">
        <f t="shared" si="13"/>
        <v>-31500000</v>
      </c>
      <c r="J175" s="103">
        <f t="shared" si="16"/>
        <v>0</v>
      </c>
      <c r="K175" s="103">
        <f t="shared" si="17"/>
        <v>-31500000</v>
      </c>
    </row>
    <row r="176" spans="1:13">
      <c r="A176" s="103" t="s">
        <v>4057</v>
      </c>
      <c r="B176" s="18">
        <v>-9396</v>
      </c>
      <c r="C176" s="18">
        <v>0</v>
      </c>
      <c r="D176" s="18">
        <f t="shared" si="18"/>
        <v>-9396</v>
      </c>
      <c r="E176" s="103" t="s">
        <v>4058</v>
      </c>
      <c r="F176" s="103">
        <v>1</v>
      </c>
      <c r="G176" s="36">
        <f t="shared" si="14"/>
        <v>33</v>
      </c>
      <c r="H176" s="103">
        <f t="shared" si="15"/>
        <v>0</v>
      </c>
      <c r="I176" s="103">
        <f t="shared" si="13"/>
        <v>-310068</v>
      </c>
      <c r="J176" s="103">
        <f t="shared" si="16"/>
        <v>0</v>
      </c>
      <c r="K176" s="103">
        <f t="shared" si="17"/>
        <v>-310068</v>
      </c>
    </row>
    <row r="177" spans="1:14">
      <c r="A177" s="103" t="s">
        <v>4061</v>
      </c>
      <c r="B177" s="18">
        <v>-43300</v>
      </c>
      <c r="C177" s="18">
        <v>0</v>
      </c>
      <c r="D177" s="18">
        <f t="shared" si="18"/>
        <v>-43300</v>
      </c>
      <c r="E177" s="103" t="s">
        <v>4063</v>
      </c>
      <c r="F177" s="103">
        <v>3</v>
      </c>
      <c r="G177" s="36">
        <f t="shared" si="14"/>
        <v>32</v>
      </c>
      <c r="H177" s="103">
        <f t="shared" si="15"/>
        <v>0</v>
      </c>
      <c r="I177" s="103">
        <f t="shared" si="13"/>
        <v>-1385600</v>
      </c>
      <c r="J177" s="103">
        <f t="shared" si="16"/>
        <v>0</v>
      </c>
      <c r="K177" s="103">
        <f t="shared" si="17"/>
        <v>-1385600</v>
      </c>
    </row>
    <row r="178" spans="1:14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4074</v>
      </c>
      <c r="F178" s="103">
        <v>2</v>
      </c>
      <c r="G178" s="36">
        <f t="shared" si="14"/>
        <v>29</v>
      </c>
      <c r="H178" s="103">
        <f t="shared" si="15"/>
        <v>1</v>
      </c>
      <c r="I178" s="103">
        <f t="shared" si="13"/>
        <v>10080000</v>
      </c>
      <c r="J178" s="103">
        <f t="shared" si="16"/>
        <v>0</v>
      </c>
      <c r="K178" s="103">
        <f t="shared" si="17"/>
        <v>10080000</v>
      </c>
    </row>
    <row r="179" spans="1:14">
      <c r="A179" s="103" t="s">
        <v>4076</v>
      </c>
      <c r="B179" s="18">
        <v>3000000</v>
      </c>
      <c r="C179" s="18">
        <v>0</v>
      </c>
      <c r="D179" s="18">
        <f t="shared" si="18"/>
        <v>3000000</v>
      </c>
      <c r="E179" s="103" t="s">
        <v>4077</v>
      </c>
      <c r="F179" s="103">
        <v>0</v>
      </c>
      <c r="G179" s="36">
        <f t="shared" si="14"/>
        <v>27</v>
      </c>
      <c r="H179" s="103">
        <f t="shared" si="15"/>
        <v>1</v>
      </c>
      <c r="I179" s="103">
        <f t="shared" si="13"/>
        <v>78000000</v>
      </c>
      <c r="J179" s="103">
        <f t="shared" si="16"/>
        <v>0</v>
      </c>
      <c r="K179" s="103">
        <f t="shared" si="17"/>
        <v>78000000</v>
      </c>
    </row>
    <row r="180" spans="1:14">
      <c r="A180" s="103" t="s">
        <v>4076</v>
      </c>
      <c r="B180" s="18">
        <v>-12050</v>
      </c>
      <c r="C180" s="18">
        <v>0</v>
      </c>
      <c r="D180" s="18">
        <f t="shared" si="18"/>
        <v>-12050</v>
      </c>
      <c r="E180" s="103" t="s">
        <v>4058</v>
      </c>
      <c r="F180" s="103">
        <v>2</v>
      </c>
      <c r="G180" s="36">
        <f t="shared" si="14"/>
        <v>27</v>
      </c>
      <c r="H180" s="103">
        <f t="shared" si="15"/>
        <v>0</v>
      </c>
      <c r="I180" s="103">
        <f t="shared" si="13"/>
        <v>-325350</v>
      </c>
      <c r="J180" s="103">
        <f t="shared" si="16"/>
        <v>0</v>
      </c>
      <c r="K180" s="103">
        <f t="shared" si="17"/>
        <v>-325350</v>
      </c>
    </row>
    <row r="181" spans="1:14">
      <c r="A181" s="103" t="s">
        <v>4081</v>
      </c>
      <c r="B181" s="18">
        <v>3000000</v>
      </c>
      <c r="C181" s="18">
        <v>0</v>
      </c>
      <c r="D181" s="18">
        <f t="shared" si="18"/>
        <v>3000000</v>
      </c>
      <c r="E181" s="103" t="s">
        <v>4082</v>
      </c>
      <c r="F181" s="103">
        <v>2</v>
      </c>
      <c r="G181" s="36">
        <f t="shared" si="14"/>
        <v>25</v>
      </c>
      <c r="H181" s="103">
        <f t="shared" si="15"/>
        <v>1</v>
      </c>
      <c r="I181" s="103">
        <f t="shared" si="13"/>
        <v>72000000</v>
      </c>
      <c r="J181" s="103">
        <f t="shared" si="16"/>
        <v>0</v>
      </c>
      <c r="K181" s="103">
        <f t="shared" si="17"/>
        <v>72000000</v>
      </c>
    </row>
    <row r="182" spans="1:14">
      <c r="A182" s="103" t="s">
        <v>4092</v>
      </c>
      <c r="B182" s="18">
        <v>-35800</v>
      </c>
      <c r="C182" s="18">
        <v>0</v>
      </c>
      <c r="D182" s="18">
        <f t="shared" si="18"/>
        <v>-35800</v>
      </c>
      <c r="E182" s="103" t="s">
        <v>4093</v>
      </c>
      <c r="F182" s="103">
        <v>1</v>
      </c>
      <c r="G182" s="36">
        <f t="shared" si="14"/>
        <v>23</v>
      </c>
      <c r="H182" s="103">
        <f t="shared" si="15"/>
        <v>0</v>
      </c>
      <c r="I182" s="103">
        <f t="shared" si="13"/>
        <v>-823400</v>
      </c>
      <c r="J182" s="103">
        <f t="shared" si="16"/>
        <v>0</v>
      </c>
      <c r="K182" s="103">
        <f t="shared" si="17"/>
        <v>-823400</v>
      </c>
      <c r="N182" t="s">
        <v>25</v>
      </c>
    </row>
    <row r="183" spans="1:14">
      <c r="A183" s="103" t="s">
        <v>4091</v>
      </c>
      <c r="B183" s="18">
        <v>3600000</v>
      </c>
      <c r="C183" s="18">
        <v>0</v>
      </c>
      <c r="D183" s="18">
        <f t="shared" si="18"/>
        <v>3600000</v>
      </c>
      <c r="E183" s="103" t="s">
        <v>4094</v>
      </c>
      <c r="F183" s="103">
        <v>0</v>
      </c>
      <c r="G183" s="36">
        <f t="shared" si="14"/>
        <v>22</v>
      </c>
      <c r="H183" s="103">
        <f t="shared" si="15"/>
        <v>1</v>
      </c>
      <c r="I183" s="103">
        <f t="shared" si="13"/>
        <v>75600000</v>
      </c>
      <c r="J183" s="103">
        <f t="shared" si="16"/>
        <v>0</v>
      </c>
      <c r="K183" s="103">
        <f t="shared" si="17"/>
        <v>75600000</v>
      </c>
    </row>
    <row r="184" spans="1:14">
      <c r="A184" s="103" t="s">
        <v>4091</v>
      </c>
      <c r="B184" s="18">
        <v>-33377</v>
      </c>
      <c r="C184" s="18">
        <v>0</v>
      </c>
      <c r="D184" s="18">
        <f t="shared" si="18"/>
        <v>-33377</v>
      </c>
      <c r="E184" s="103" t="s">
        <v>4095</v>
      </c>
      <c r="F184" s="103">
        <v>3</v>
      </c>
      <c r="G184" s="36">
        <f t="shared" si="14"/>
        <v>22</v>
      </c>
      <c r="H184" s="103">
        <f t="shared" si="15"/>
        <v>0</v>
      </c>
      <c r="I184" s="103">
        <f t="shared" si="13"/>
        <v>-734294</v>
      </c>
      <c r="J184" s="103">
        <f t="shared" si="16"/>
        <v>0</v>
      </c>
      <c r="K184" s="103">
        <f t="shared" si="17"/>
        <v>-734294</v>
      </c>
    </row>
    <row r="185" spans="1:14">
      <c r="A185" s="103" t="s">
        <v>4124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19</v>
      </c>
      <c r="H185" s="103">
        <f t="shared" si="15"/>
        <v>0</v>
      </c>
      <c r="I185" s="103">
        <f t="shared" si="13"/>
        <v>-186200000</v>
      </c>
      <c r="J185" s="103">
        <f t="shared" si="16"/>
        <v>0</v>
      </c>
      <c r="K185" s="103">
        <f t="shared" si="17"/>
        <v>-186200000</v>
      </c>
    </row>
    <row r="186" spans="1:14">
      <c r="A186" s="103" t="s">
        <v>4124</v>
      </c>
      <c r="B186" s="18">
        <v>18000000</v>
      </c>
      <c r="C186" s="18">
        <v>0</v>
      </c>
      <c r="D186" s="18">
        <f t="shared" si="18"/>
        <v>18000000</v>
      </c>
      <c r="E186" s="103" t="s">
        <v>4126</v>
      </c>
      <c r="F186" s="103">
        <v>0</v>
      </c>
      <c r="G186" s="36">
        <f t="shared" si="14"/>
        <v>19</v>
      </c>
      <c r="H186" s="103">
        <f t="shared" si="15"/>
        <v>1</v>
      </c>
      <c r="I186" s="103">
        <f t="shared" si="13"/>
        <v>324000000</v>
      </c>
      <c r="J186" s="103">
        <f t="shared" si="16"/>
        <v>0</v>
      </c>
      <c r="K186" s="103">
        <f t="shared" si="17"/>
        <v>324000000</v>
      </c>
    </row>
    <row r="187" spans="1:14">
      <c r="A187" s="103" t="s">
        <v>4124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19</v>
      </c>
      <c r="H187" s="103">
        <f t="shared" si="15"/>
        <v>0</v>
      </c>
      <c r="I187" s="103">
        <f t="shared" si="13"/>
        <v>-171000000</v>
      </c>
      <c r="J187" s="103">
        <f t="shared" si="16"/>
        <v>0</v>
      </c>
      <c r="K187" s="103">
        <f t="shared" si="17"/>
        <v>-171000000</v>
      </c>
    </row>
    <row r="188" spans="1:14">
      <c r="A188" s="103" t="s">
        <v>4124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19</v>
      </c>
      <c r="H188" s="103">
        <f t="shared" si="15"/>
        <v>0</v>
      </c>
      <c r="I188" s="103">
        <f t="shared" si="13"/>
        <v>-220400</v>
      </c>
      <c r="J188" s="103">
        <f t="shared" si="16"/>
        <v>0</v>
      </c>
      <c r="K188" s="103">
        <f t="shared" si="17"/>
        <v>-220400</v>
      </c>
    </row>
    <row r="189" spans="1:14">
      <c r="A189" s="103" t="s">
        <v>4124</v>
      </c>
      <c r="B189" s="18">
        <v>-3304327</v>
      </c>
      <c r="C189" s="18">
        <v>0</v>
      </c>
      <c r="D189" s="18">
        <f t="shared" si="18"/>
        <v>-3304327</v>
      </c>
      <c r="E189" s="103" t="s">
        <v>4128</v>
      </c>
      <c r="F189" s="103">
        <v>1</v>
      </c>
      <c r="G189" s="36">
        <f t="shared" si="14"/>
        <v>19</v>
      </c>
      <c r="H189" s="103">
        <f t="shared" si="15"/>
        <v>0</v>
      </c>
      <c r="I189" s="103">
        <f t="shared" si="13"/>
        <v>-62782213</v>
      </c>
      <c r="J189" s="103">
        <f t="shared" si="16"/>
        <v>0</v>
      </c>
      <c r="K189" s="103">
        <f t="shared" si="17"/>
        <v>-62782213</v>
      </c>
    </row>
    <row r="190" spans="1:14">
      <c r="A190" s="103" t="s">
        <v>4134</v>
      </c>
      <c r="B190" s="18">
        <v>-3000900</v>
      </c>
      <c r="C190" s="18">
        <v>0</v>
      </c>
      <c r="D190" s="18">
        <f t="shared" si="18"/>
        <v>-3000900</v>
      </c>
      <c r="E190" s="103" t="s">
        <v>4135</v>
      </c>
      <c r="F190" s="103">
        <v>1</v>
      </c>
      <c r="G190" s="36">
        <f t="shared" si="14"/>
        <v>18</v>
      </c>
      <c r="H190" s="103">
        <f t="shared" si="15"/>
        <v>0</v>
      </c>
      <c r="I190" s="103">
        <f t="shared" si="13"/>
        <v>-54016200</v>
      </c>
      <c r="J190" s="103">
        <f t="shared" si="16"/>
        <v>0</v>
      </c>
      <c r="K190" s="103">
        <f t="shared" si="17"/>
        <v>-54016200</v>
      </c>
    </row>
    <row r="191" spans="1:14">
      <c r="A191" s="103" t="s">
        <v>4140</v>
      </c>
      <c r="B191" s="18">
        <v>-2760900</v>
      </c>
      <c r="C191" s="18">
        <v>0</v>
      </c>
      <c r="D191" s="18">
        <f t="shared" si="18"/>
        <v>-2760900</v>
      </c>
      <c r="E191" s="103" t="s">
        <v>4141</v>
      </c>
      <c r="F191" s="103">
        <v>5</v>
      </c>
      <c r="G191" s="36">
        <f t="shared" si="14"/>
        <v>17</v>
      </c>
      <c r="H191" s="103">
        <f t="shared" si="15"/>
        <v>0</v>
      </c>
      <c r="I191" s="103">
        <f t="shared" si="13"/>
        <v>-46935300</v>
      </c>
      <c r="J191" s="103">
        <f t="shared" si="16"/>
        <v>0</v>
      </c>
      <c r="K191" s="103">
        <f t="shared" si="17"/>
        <v>-46935300</v>
      </c>
    </row>
    <row r="192" spans="1:14">
      <c r="A192" s="103" t="s">
        <v>4154</v>
      </c>
      <c r="B192" s="18">
        <v>1000000</v>
      </c>
      <c r="C192" s="18">
        <v>0</v>
      </c>
      <c r="D192" s="18">
        <f t="shared" si="18"/>
        <v>1000000</v>
      </c>
      <c r="E192" s="103" t="s">
        <v>4132</v>
      </c>
      <c r="F192" s="103">
        <v>1</v>
      </c>
      <c r="G192" s="36">
        <f t="shared" si="14"/>
        <v>12</v>
      </c>
      <c r="H192" s="103">
        <f t="shared" si="15"/>
        <v>1</v>
      </c>
      <c r="I192" s="103">
        <f t="shared" si="13"/>
        <v>11000000</v>
      </c>
      <c r="J192" s="103">
        <f t="shared" si="16"/>
        <v>0</v>
      </c>
      <c r="K192" s="103">
        <f t="shared" si="17"/>
        <v>11000000</v>
      </c>
    </row>
    <row r="193" spans="1:11">
      <c r="A193" s="103" t="s">
        <v>4174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11</v>
      </c>
      <c r="H193" s="103">
        <f t="shared" si="15"/>
        <v>0</v>
      </c>
      <c r="I193" s="103">
        <f t="shared" si="13"/>
        <v>-165000</v>
      </c>
      <c r="J193" s="103">
        <f t="shared" si="16"/>
        <v>0</v>
      </c>
      <c r="K193" s="103">
        <f t="shared" si="17"/>
        <v>-165000</v>
      </c>
    </row>
    <row r="194" spans="1:11">
      <c r="A194" s="103" t="s">
        <v>4170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9</v>
      </c>
      <c r="H194" s="103">
        <f t="shared" si="15"/>
        <v>0</v>
      </c>
      <c r="I194" s="103">
        <f t="shared" si="13"/>
        <v>-8910000</v>
      </c>
      <c r="J194" s="103">
        <f t="shared" si="16"/>
        <v>0</v>
      </c>
      <c r="K194" s="103">
        <f t="shared" si="17"/>
        <v>-8910000</v>
      </c>
    </row>
    <row r="195" spans="1:11">
      <c r="A195" s="103" t="s">
        <v>4170</v>
      </c>
      <c r="B195" s="18">
        <v>783000</v>
      </c>
      <c r="C195" s="18">
        <v>0</v>
      </c>
      <c r="D195" s="18">
        <f t="shared" si="18"/>
        <v>783000</v>
      </c>
      <c r="E195" s="103" t="s">
        <v>4178</v>
      </c>
      <c r="F195" s="103">
        <v>2</v>
      </c>
      <c r="G195" s="36">
        <f t="shared" si="14"/>
        <v>9</v>
      </c>
      <c r="H195" s="103">
        <f t="shared" si="15"/>
        <v>1</v>
      </c>
      <c r="I195" s="103">
        <f t="shared" si="13"/>
        <v>6264000</v>
      </c>
      <c r="J195" s="103">
        <f t="shared" si="16"/>
        <v>0</v>
      </c>
      <c r="K195" s="103">
        <f t="shared" si="17"/>
        <v>6264000</v>
      </c>
    </row>
    <row r="196" spans="1:11">
      <c r="A196" s="103" t="s">
        <v>4204</v>
      </c>
      <c r="B196" s="18">
        <v>-750500</v>
      </c>
      <c r="C196" s="18">
        <v>0</v>
      </c>
      <c r="D196" s="18">
        <f t="shared" si="18"/>
        <v>-750500</v>
      </c>
      <c r="E196" s="103" t="s">
        <v>4205</v>
      </c>
      <c r="F196" s="103">
        <v>2</v>
      </c>
      <c r="G196" s="36">
        <f t="shared" si="14"/>
        <v>7</v>
      </c>
      <c r="H196" s="103">
        <f t="shared" si="15"/>
        <v>0</v>
      </c>
      <c r="I196" s="103">
        <f t="shared" si="13"/>
        <v>-5253500</v>
      </c>
      <c r="J196" s="103">
        <f t="shared" si="16"/>
        <v>0</v>
      </c>
      <c r="K196" s="103">
        <f t="shared" si="17"/>
        <v>-5253500</v>
      </c>
    </row>
    <row r="197" spans="1:11">
      <c r="A197" s="103" t="s">
        <v>4229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5</v>
      </c>
      <c r="H197" s="103">
        <f t="shared" si="15"/>
        <v>1</v>
      </c>
      <c r="I197" s="103">
        <f t="shared" si="13"/>
        <v>2800000</v>
      </c>
      <c r="J197" s="103">
        <f t="shared" si="16"/>
        <v>0</v>
      </c>
      <c r="K197" s="103">
        <f t="shared" si="17"/>
        <v>2800000</v>
      </c>
    </row>
    <row r="198" spans="1:11">
      <c r="A198" s="103" t="s">
        <v>4229</v>
      </c>
      <c r="B198" s="18">
        <v>-99000</v>
      </c>
      <c r="C198" s="18">
        <v>0</v>
      </c>
      <c r="D198" s="18">
        <f t="shared" si="18"/>
        <v>-99000</v>
      </c>
      <c r="E198" s="103" t="s">
        <v>4240</v>
      </c>
      <c r="F198" s="103">
        <v>1</v>
      </c>
      <c r="G198" s="36">
        <f t="shared" si="14"/>
        <v>5</v>
      </c>
      <c r="H198" s="103">
        <f t="shared" si="15"/>
        <v>0</v>
      </c>
      <c r="I198" s="103">
        <f t="shared" si="13"/>
        <v>-495000</v>
      </c>
      <c r="J198" s="103">
        <f t="shared" si="16"/>
        <v>0</v>
      </c>
      <c r="K198" s="103">
        <f t="shared" si="17"/>
        <v>-495000</v>
      </c>
    </row>
    <row r="199" spans="1:11">
      <c r="A199" s="103" t="s">
        <v>4242</v>
      </c>
      <c r="B199" s="18">
        <v>-205750</v>
      </c>
      <c r="C199" s="18">
        <v>0</v>
      </c>
      <c r="D199" s="18">
        <f t="shared" si="18"/>
        <v>-205750</v>
      </c>
      <c r="E199" s="103" t="s">
        <v>4243</v>
      </c>
      <c r="F199" s="103">
        <v>0</v>
      </c>
      <c r="G199" s="36">
        <f t="shared" si="14"/>
        <v>4</v>
      </c>
      <c r="H199" s="103">
        <f t="shared" si="15"/>
        <v>0</v>
      </c>
      <c r="I199" s="103">
        <f t="shared" si="13"/>
        <v>-823000</v>
      </c>
      <c r="J199" s="103">
        <f t="shared" si="16"/>
        <v>0</v>
      </c>
      <c r="K199" s="103">
        <f t="shared" si="17"/>
        <v>-823000</v>
      </c>
    </row>
    <row r="200" spans="1:11">
      <c r="A200" s="103" t="s">
        <v>4242</v>
      </c>
      <c r="B200" s="18">
        <v>-95000</v>
      </c>
      <c r="C200" s="18">
        <v>0</v>
      </c>
      <c r="D200" s="18">
        <f t="shared" si="18"/>
        <v>-95000</v>
      </c>
      <c r="E200" s="103" t="s">
        <v>4244</v>
      </c>
      <c r="F200" s="103">
        <v>3</v>
      </c>
      <c r="G200" s="36">
        <f t="shared" si="14"/>
        <v>4</v>
      </c>
      <c r="H200" s="103">
        <f t="shared" si="15"/>
        <v>0</v>
      </c>
      <c r="I200" s="103">
        <f t="shared" si="13"/>
        <v>-380000</v>
      </c>
      <c r="J200" s="103">
        <f t="shared" si="16"/>
        <v>0</v>
      </c>
      <c r="K200" s="103">
        <f t="shared" si="17"/>
        <v>-380000</v>
      </c>
    </row>
    <row r="201" spans="1:11">
      <c r="A201" s="103" t="s">
        <v>4298</v>
      </c>
      <c r="B201" s="18">
        <v>48650000</v>
      </c>
      <c r="C201" s="18">
        <v>0</v>
      </c>
      <c r="D201" s="18">
        <f t="shared" si="18"/>
        <v>48650000</v>
      </c>
      <c r="E201" s="103" t="s">
        <v>4299</v>
      </c>
      <c r="F201" s="103">
        <v>0</v>
      </c>
      <c r="G201" s="36">
        <f t="shared" si="14"/>
        <v>1</v>
      </c>
      <c r="H201" s="103">
        <f t="shared" si="15"/>
        <v>1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>
      <c r="A202" s="103" t="s">
        <v>4298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</v>
      </c>
      <c r="H202" s="103">
        <f t="shared" si="15"/>
        <v>0</v>
      </c>
      <c r="I202" s="103">
        <f t="shared" si="13"/>
        <v>-3000900</v>
      </c>
      <c r="J202" s="103">
        <f t="shared" si="16"/>
        <v>0</v>
      </c>
      <c r="K202" s="103">
        <f t="shared" si="17"/>
        <v>-3000900</v>
      </c>
    </row>
    <row r="203" spans="1:11">
      <c r="A203" s="103" t="s">
        <v>4298</v>
      </c>
      <c r="B203" s="18">
        <v>-5000</v>
      </c>
      <c r="C203" s="18">
        <v>0</v>
      </c>
      <c r="D203" s="18">
        <f t="shared" si="18"/>
        <v>-5000</v>
      </c>
      <c r="E203" s="103" t="s">
        <v>4300</v>
      </c>
      <c r="F203" s="103">
        <v>1</v>
      </c>
      <c r="G203" s="36">
        <f t="shared" si="14"/>
        <v>1</v>
      </c>
      <c r="H203" s="103">
        <f t="shared" si="15"/>
        <v>0</v>
      </c>
      <c r="I203" s="103">
        <f t="shared" si="13"/>
        <v>-5000</v>
      </c>
      <c r="J203" s="103">
        <f t="shared" si="16"/>
        <v>0</v>
      </c>
      <c r="K203" s="103">
        <f t="shared" si="17"/>
        <v>-5000</v>
      </c>
    </row>
    <row r="204" spans="1:11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>
      <c r="A207" s="11"/>
      <c r="B207" s="29">
        <f>SUM(B2:B206)</f>
        <v>45984837</v>
      </c>
      <c r="C207" s="29">
        <f>SUM(C2:C205)</f>
        <v>7835443</v>
      </c>
      <c r="D207" s="29">
        <f>SUM(D2:D205)</f>
        <v>38149394</v>
      </c>
      <c r="E207" s="11"/>
      <c r="F207" s="11"/>
      <c r="G207" s="11"/>
      <c r="H207" s="11"/>
      <c r="I207" s="29">
        <f>SUM(I2:I206)</f>
        <v>18808100392</v>
      </c>
      <c r="J207" s="29">
        <f>SUM(J2:J206)</f>
        <v>8013110072</v>
      </c>
      <c r="K207" s="29">
        <f>SUM(K2:K206)</f>
        <v>10794990320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21156468.382452194</v>
      </c>
      <c r="J210" s="29">
        <f>J207/G2</f>
        <v>9013622.1282339711</v>
      </c>
      <c r="K210" s="29">
        <f>K207/G2</f>
        <v>12142846.254218223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855</v>
      </c>
      <c r="D214" s="102">
        <f>D207-D151+D152</f>
        <v>39346033</v>
      </c>
      <c r="G214" t="s">
        <v>25</v>
      </c>
      <c r="J214">
        <f>J207/I207*1448696</f>
        <v>617210.68406269234</v>
      </c>
      <c r="K214">
        <f>K207/I207*1448696</f>
        <v>831485.31593730755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767</v>
      </c>
      <c r="P34" t="s">
        <v>60</v>
      </c>
      <c r="Q34" t="s">
        <v>61</v>
      </c>
    </row>
    <row r="35" spans="4:17">
      <c r="D35" s="42">
        <v>-50000</v>
      </c>
      <c r="E35" s="41" t="s">
        <v>772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800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834</v>
      </c>
      <c r="P34" t="s">
        <v>60</v>
      </c>
      <c r="Q34" t="s">
        <v>61</v>
      </c>
    </row>
    <row r="35" spans="4:17">
      <c r="D35" s="42">
        <v>-80000</v>
      </c>
      <c r="E35" s="41" t="s">
        <v>835</v>
      </c>
    </row>
    <row r="36" spans="4:17">
      <c r="D36" s="42">
        <v>-10000</v>
      </c>
      <c r="E36" s="41" t="s">
        <v>845</v>
      </c>
    </row>
    <row r="37" spans="4:17">
      <c r="D37" s="7">
        <v>-180000</v>
      </c>
      <c r="E37" s="41" t="s">
        <v>850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1010</v>
      </c>
      <c r="P34" t="s">
        <v>60</v>
      </c>
      <c r="Q34" t="s">
        <v>61</v>
      </c>
    </row>
    <row r="35" spans="4:17">
      <c r="D35" s="42">
        <v>200000</v>
      </c>
      <c r="E35" s="41" t="s">
        <v>1028</v>
      </c>
    </row>
    <row r="36" spans="4:17">
      <c r="D36" s="42">
        <v>245000</v>
      </c>
      <c r="E36" s="41" t="s">
        <v>1028</v>
      </c>
    </row>
    <row r="37" spans="4:17">
      <c r="D37" s="7">
        <v>-25000</v>
      </c>
      <c r="E37" s="41" t="s">
        <v>1032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1134</v>
      </c>
      <c r="P35" t="s">
        <v>60</v>
      </c>
      <c r="Q35" t="s">
        <v>61</v>
      </c>
    </row>
    <row r="36" spans="4:17">
      <c r="D36" s="42">
        <v>79552</v>
      </c>
      <c r="E36" s="41" t="s">
        <v>1135</v>
      </c>
    </row>
    <row r="37" spans="4:17">
      <c r="D37" s="7">
        <v>-65500</v>
      </c>
      <c r="E37" s="41" t="s">
        <v>1150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>
      <c r="D50" s="118">
        <v>2000000</v>
      </c>
      <c r="E50" s="41" t="s">
        <v>1247</v>
      </c>
    </row>
    <row r="51" spans="1:18">
      <c r="D51" s="118">
        <v>1000000</v>
      </c>
      <c r="E51" s="41" t="s">
        <v>1249</v>
      </c>
    </row>
    <row r="52" spans="1:18">
      <c r="D52" s="118">
        <v>910500</v>
      </c>
      <c r="E52" s="41" t="s">
        <v>1260</v>
      </c>
    </row>
    <row r="53" spans="1:18">
      <c r="D53" s="118">
        <v>-300000</v>
      </c>
      <c r="E53" s="41" t="s">
        <v>1263</v>
      </c>
    </row>
    <row r="54" spans="1:18">
      <c r="D54" s="118">
        <v>-58500</v>
      </c>
      <c r="E54" s="41" t="s">
        <v>1264</v>
      </c>
    </row>
    <row r="55" spans="1:18">
      <c r="D55" s="118">
        <v>-1500000</v>
      </c>
      <c r="E55" s="41" t="s">
        <v>1267</v>
      </c>
    </row>
    <row r="56" spans="1:18">
      <c r="D56" s="118">
        <v>-61000</v>
      </c>
      <c r="E56" s="41" t="s">
        <v>1271</v>
      </c>
    </row>
    <row r="57" spans="1:18">
      <c r="D57" s="118">
        <v>1000000</v>
      </c>
      <c r="E57" s="41" t="s">
        <v>3690</v>
      </c>
    </row>
    <row r="58" spans="1:18">
      <c r="D58" s="118">
        <v>200000</v>
      </c>
      <c r="E58" s="41" t="s">
        <v>3700</v>
      </c>
    </row>
    <row r="59" spans="1:18">
      <c r="D59" s="118">
        <v>3000000</v>
      </c>
      <c r="E59" s="41" t="s">
        <v>3705</v>
      </c>
    </row>
    <row r="60" spans="1:18">
      <c r="D60" s="118"/>
      <c r="E60" s="100"/>
    </row>
    <row r="61" spans="1:18">
      <c r="D61" s="118"/>
      <c r="E61" s="100"/>
    </row>
    <row r="62" spans="1:18">
      <c r="D62" s="118">
        <f>SUM(D30:D60)</f>
        <v>23028080</v>
      </c>
      <c r="E62" s="100" t="s">
        <v>6</v>
      </c>
    </row>
    <row r="63" spans="1:18">
      <c r="D63" s="118"/>
      <c r="E63" s="41"/>
    </row>
    <row r="64" spans="1:18">
      <c r="D64" s="100"/>
      <c r="E64" s="100"/>
    </row>
    <row r="65" spans="4:5">
      <c r="D65" s="100"/>
      <c r="E65" s="100"/>
    </row>
    <row r="66" spans="4:5">
      <c r="D66" s="100"/>
      <c r="E66" s="100" t="s">
        <v>25</v>
      </c>
    </row>
    <row r="67" spans="4:5">
      <c r="D67" s="100"/>
      <c r="E67" s="100"/>
    </row>
    <row r="68" spans="4:5">
      <c r="D68" s="100"/>
      <c r="E68" s="100"/>
    </row>
    <row r="69" spans="4:5">
      <c r="D69" s="100"/>
      <c r="E69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D66" s="100"/>
      <c r="E66" s="100"/>
    </row>
    <row r="67" spans="1:26">
      <c r="D67" s="100"/>
      <c r="E67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4021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4021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4023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4057</v>
      </c>
      <c r="B6" s="18">
        <v>-9396</v>
      </c>
      <c r="C6" s="18">
        <v>0</v>
      </c>
      <c r="D6" s="117">
        <f t="shared" si="0"/>
        <v>-9396</v>
      </c>
      <c r="E6" s="19" t="s">
        <v>4060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4061</v>
      </c>
      <c r="B7" s="18">
        <v>-43300</v>
      </c>
      <c r="C7" s="18">
        <v>0</v>
      </c>
      <c r="D7" s="117">
        <f t="shared" si="0"/>
        <v>-43300</v>
      </c>
      <c r="E7" s="19" t="s">
        <v>4060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4074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4078</v>
      </c>
      <c r="B9" s="18">
        <v>3000000</v>
      </c>
      <c r="C9" s="18">
        <v>0</v>
      </c>
      <c r="D9" s="117">
        <f t="shared" si="0"/>
        <v>3000000</v>
      </c>
      <c r="E9" s="21" t="s">
        <v>4077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4076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59600</v>
      </c>
      <c r="E39" s="41" t="s">
        <v>4017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32300</v>
      </c>
      <c r="E40" s="41" t="s">
        <v>4018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32000</v>
      </c>
      <c r="E41" s="41" t="s">
        <v>4024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9997</v>
      </c>
      <c r="E42" s="41" t="s">
        <v>4025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39927</v>
      </c>
      <c r="E43" s="41" t="s">
        <v>4026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306673</v>
      </c>
      <c r="E44" s="41" t="s">
        <v>4027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-2765</v>
      </c>
      <c r="E45" s="41" t="s">
        <v>4028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206986</v>
      </c>
      <c r="E46" s="41" t="s">
        <v>4029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-251451</v>
      </c>
      <c r="E47" s="41" t="s">
        <v>4030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-7467154</v>
      </c>
      <c r="E48" s="41" t="s">
        <v>4031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>
      <c r="A49" s="100"/>
      <c r="B49" s="100"/>
      <c r="C49" s="100"/>
      <c r="D49" s="118">
        <v>-1249833</v>
      </c>
      <c r="E49" s="54" t="s">
        <v>4033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142700</v>
      </c>
      <c r="E50" s="41" t="s">
        <v>4035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32725</v>
      </c>
      <c r="E51" s="41" t="s">
        <v>4037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-149348</v>
      </c>
      <c r="E52" s="41" t="s">
        <v>4038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147067</v>
      </c>
      <c r="E53" s="41" t="s">
        <v>4039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-1100000</v>
      </c>
      <c r="E54" s="41" t="s">
        <v>4042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-790000</v>
      </c>
      <c r="E55" s="41" t="s">
        <v>4043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-3320</v>
      </c>
      <c r="E56" s="41" t="s">
        <v>4044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16000</v>
      </c>
      <c r="E57" s="41" t="s">
        <v>4045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450500</v>
      </c>
      <c r="E58" s="41" t="s">
        <v>4048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16931</v>
      </c>
      <c r="E59" s="41" t="s">
        <v>4051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>
        <v>-10000</v>
      </c>
      <c r="E60" s="41" t="s">
        <v>4052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>
        <v>-15000</v>
      </c>
      <c r="E61" s="41" t="s">
        <v>4053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v>10350</v>
      </c>
      <c r="E62" s="41" t="s">
        <v>4054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>
        <v>9396</v>
      </c>
      <c r="E63" s="41" t="s">
        <v>4059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18">
        <v>43300</v>
      </c>
      <c r="E64" s="41" t="s">
        <v>4062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18">
        <v>315101</v>
      </c>
      <c r="E65" s="41" t="s">
        <v>4064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>
      <c r="A67" s="100"/>
      <c r="B67" s="100"/>
      <c r="C67" s="100"/>
      <c r="D67" s="118">
        <v>12050</v>
      </c>
      <c r="E67" s="41" t="s">
        <v>4080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>
      <c r="D218" s="100"/>
      <c r="E218" s="100"/>
    </row>
    <row r="219" spans="1:21">
      <c r="D219" s="100"/>
      <c r="E219" s="100"/>
    </row>
    <row r="220" spans="1:21">
      <c r="D220" s="100"/>
      <c r="E220" s="100"/>
    </row>
    <row r="221" spans="1:21">
      <c r="D221" s="100"/>
      <c r="E221" s="100"/>
    </row>
    <row r="222" spans="1:21">
      <c r="D222" s="100"/>
      <c r="E222" s="100"/>
    </row>
    <row r="223" spans="1:21">
      <c r="D223" s="100"/>
      <c r="E223" s="100"/>
    </row>
    <row r="224" spans="1:21">
      <c r="D224" s="100"/>
      <c r="E224" s="100"/>
    </row>
    <row r="225" spans="4:5">
      <c r="D225" s="100"/>
      <c r="E225" s="100"/>
    </row>
    <row r="226" spans="4:5">
      <c r="D226" s="100"/>
      <c r="E226" s="10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25"/>
      <c r="B29" s="180" t="s">
        <v>4079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S63" t="s">
        <v>25</v>
      </c>
      <c r="AD63" s="25"/>
      <c r="AE63" s="26"/>
    </row>
    <row r="64" spans="1:31">
      <c r="T64" t="s">
        <v>25</v>
      </c>
      <c r="AD64" s="25"/>
      <c r="AE64" s="26"/>
    </row>
    <row r="65" spans="30:31">
      <c r="AD65" s="25"/>
      <c r="AE65" s="26"/>
    </row>
    <row r="66" spans="30:31">
      <c r="AD66" s="25"/>
      <c r="AE66" s="26"/>
    </row>
    <row r="67" spans="30:31">
      <c r="AD67" s="25"/>
      <c r="AE67" s="26"/>
    </row>
    <row r="68" spans="30:31">
      <c r="AD68" s="25"/>
      <c r="AE68" s="26"/>
    </row>
    <row r="69" spans="30:31">
      <c r="AD69" s="25"/>
      <c r="AE69" s="26"/>
    </row>
    <row r="70" spans="30:31">
      <c r="AD70" s="25"/>
      <c r="AE70" s="26"/>
    </row>
    <row r="71" spans="30:31">
      <c r="AD71" s="25"/>
      <c r="AE71" s="26"/>
    </row>
    <row r="72" spans="30:31">
      <c r="AD72" s="25"/>
      <c r="AE72" s="26"/>
    </row>
    <row r="73" spans="30:31">
      <c r="AD73" s="25"/>
      <c r="AE73" s="26"/>
    </row>
    <row r="74" spans="30:31">
      <c r="AD74" s="25"/>
      <c r="AE74" s="26"/>
    </row>
    <row r="75" spans="30:31">
      <c r="AD75" s="25"/>
      <c r="AE75" s="26"/>
    </row>
    <row r="76" spans="30:31">
      <c r="AD76" s="25"/>
      <c r="AE76" s="26"/>
    </row>
    <row r="77" spans="30:31">
      <c r="AD77" s="25"/>
      <c r="AE77" s="26"/>
    </row>
    <row r="78" spans="30:31">
      <c r="AD78" s="25"/>
      <c r="AE78" s="26"/>
    </row>
    <row r="79" spans="30:31">
      <c r="AD79" s="25"/>
      <c r="AE79" s="26"/>
    </row>
    <row r="80" spans="30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1059</v>
      </c>
    </row>
    <row r="2" spans="1:1">
      <c r="A2" t="s">
        <v>1060</v>
      </c>
    </row>
    <row r="3" spans="1:1">
      <c r="A3" t="s">
        <v>1061</v>
      </c>
    </row>
    <row r="4" spans="1:1">
      <c r="A4" t="s">
        <v>1062</v>
      </c>
    </row>
    <row r="5" spans="1:1">
      <c r="A5" t="s">
        <v>1063</v>
      </c>
    </row>
    <row r="6" spans="1:1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T37" workbookViewId="0">
      <selection activeCell="AE59" sqref="AE59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3" t="s">
        <v>3726</v>
      </c>
      <c r="AK23" s="103"/>
    </row>
    <row r="24" spans="5:37">
      <c r="T24" t="s">
        <v>25</v>
      </c>
      <c r="AJ24" s="103" t="s">
        <v>3727</v>
      </c>
      <c r="AK24" s="103">
        <v>6145</v>
      </c>
    </row>
    <row r="25" spans="5:37">
      <c r="AJ25" s="103" t="s">
        <v>3733</v>
      </c>
      <c r="AK25" s="103">
        <v>6110</v>
      </c>
    </row>
    <row r="26" spans="5:37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>
      <c r="F39" s="96" t="s">
        <v>1121</v>
      </c>
      <c r="G39" s="96">
        <v>1206</v>
      </c>
      <c r="L39" s="103" t="s">
        <v>3721</v>
      </c>
      <c r="M39" s="103" t="s">
        <v>3722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>
      <c r="F40" s="96" t="s">
        <v>1122</v>
      </c>
      <c r="G40" s="96">
        <v>14000</v>
      </c>
      <c r="H40">
        <v>375</v>
      </c>
      <c r="L40" s="103" t="s">
        <v>3915</v>
      </c>
      <c r="M40" s="103" t="s">
        <v>3712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>
      <c r="F41" s="96" t="s">
        <v>1124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>
      <c r="F42" s="96" t="s">
        <v>1123</v>
      </c>
      <c r="G42" s="99">
        <f>G36*G38*G39*G40/(G35*G37)+G41</f>
        <v>3978820.4115755619</v>
      </c>
      <c r="L42" s="103" t="s">
        <v>3723</v>
      </c>
      <c r="M42" s="103" t="s">
        <v>3724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>
      <c r="F43" s="97"/>
      <c r="G43" s="98"/>
      <c r="L43" s="103" t="s">
        <v>3716</v>
      </c>
      <c r="M43" s="103" t="s">
        <v>3725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>
      <c r="F44" s="97"/>
      <c r="G44" s="97"/>
      <c r="L44" s="59">
        <v>35715</v>
      </c>
      <c r="M44" s="103" t="s">
        <v>3753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>
      <c r="AG50" s="103"/>
      <c r="AH50" s="103"/>
      <c r="AI50" s="197" t="s">
        <v>1095</v>
      </c>
      <c r="AJ50" s="197"/>
      <c r="AK50" s="197"/>
      <c r="AL50" s="197"/>
    </row>
    <row r="51" spans="1:38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7"/>
      <c r="AJ51" s="197"/>
      <c r="AK51" s="197"/>
      <c r="AL51" s="197"/>
    </row>
    <row r="52" spans="1:38" ht="15.7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4145</v>
      </c>
      <c r="AI52" s="198" t="s">
        <v>1096</v>
      </c>
      <c r="AJ52" s="199" t="s">
        <v>1097</v>
      </c>
      <c r="AK52" s="198" t="s">
        <v>1098</v>
      </c>
      <c r="AL52" s="200" t="s">
        <v>1099</v>
      </c>
    </row>
    <row r="53" spans="1:38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8"/>
      <c r="AJ53" s="199"/>
      <c r="AK53" s="198"/>
      <c r="AL53" s="200"/>
    </row>
    <row r="54" spans="1:38" ht="37.5" customHeight="1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7" t="s">
        <v>4260</v>
      </c>
      <c r="AH54" s="187">
        <v>2182188588</v>
      </c>
      <c r="AI54" s="188" t="s">
        <v>1100</v>
      </c>
      <c r="AJ54" s="188" t="s">
        <v>4146</v>
      </c>
      <c r="AK54" s="188" t="s">
        <v>4151</v>
      </c>
      <c r="AL54" s="188" t="s">
        <v>1101</v>
      </c>
    </row>
    <row r="55" spans="1:38" ht="62.25" customHeight="1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7"/>
      <c r="AH55" s="187">
        <v>2126210865</v>
      </c>
      <c r="AI55" s="189" t="s">
        <v>1102</v>
      </c>
      <c r="AJ55" s="189" t="s">
        <v>1103</v>
      </c>
      <c r="AK55" s="189" t="s">
        <v>1104</v>
      </c>
      <c r="AL55" s="189" t="s">
        <v>1105</v>
      </c>
    </row>
    <row r="56" spans="1:38" ht="4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7"/>
      <c r="AH56" s="187">
        <v>2188831909</v>
      </c>
      <c r="AI56" s="103" t="s">
        <v>4148</v>
      </c>
      <c r="AJ56" s="103" t="s">
        <v>4149</v>
      </c>
      <c r="AK56" s="103" t="s">
        <v>4150</v>
      </c>
      <c r="AL56" s="190" t="s">
        <v>4152</v>
      </c>
    </row>
    <row r="57" spans="1:38" ht="7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4138</v>
      </c>
    </row>
    <row r="58" spans="1:38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>
      <c r="H80" s="134"/>
      <c r="I80" s="134"/>
      <c r="J80" s="134"/>
    </row>
    <row r="81" spans="1:12">
      <c r="H81" s="134"/>
      <c r="I81" s="134"/>
      <c r="J81" s="134"/>
    </row>
    <row r="82" spans="1:12">
      <c r="H82" s="134"/>
      <c r="I82" s="134"/>
      <c r="J82" s="134"/>
    </row>
    <row r="83" spans="1:12">
      <c r="H83" s="134"/>
      <c r="I83" s="134"/>
      <c r="J83" s="134"/>
      <c r="K83" s="100"/>
    </row>
    <row r="84" spans="1:12">
      <c r="H84" s="134"/>
      <c r="I84" s="134"/>
      <c r="J84" s="134"/>
      <c r="K84" s="100"/>
    </row>
    <row r="85" spans="1:12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>
      <c r="A87" s="100"/>
      <c r="B87" s="100"/>
      <c r="C87" s="100"/>
      <c r="D87" s="100"/>
      <c r="E87" s="100"/>
      <c r="F87" s="100"/>
    </row>
    <row r="88" spans="1:12">
      <c r="A88" s="100"/>
      <c r="B88" s="100"/>
      <c r="C88" s="100"/>
      <c r="D88" s="100"/>
      <c r="E88" s="100"/>
      <c r="F88" s="100"/>
    </row>
    <row r="89" spans="1:12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>
      <c r="A92" s="151" t="s">
        <v>3889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>
      <c r="A113" s="100"/>
      <c r="B113" s="100"/>
      <c r="C113" s="100"/>
      <c r="D113" s="100"/>
      <c r="E113" s="100"/>
      <c r="F113" s="100"/>
    </row>
    <row r="114" spans="1:12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>
      <c r="A120" s="100"/>
      <c r="B120" s="100"/>
      <c r="C120" s="100"/>
      <c r="D120" s="100"/>
      <c r="E120" s="100"/>
      <c r="F120" s="100"/>
    </row>
    <row r="121" spans="1:12">
      <c r="A121" s="100"/>
      <c r="B121" s="100"/>
      <c r="C121" s="100"/>
      <c r="D121" s="100"/>
      <c r="E121" s="100"/>
      <c r="F121" s="100"/>
    </row>
    <row r="122" spans="1:12">
      <c r="A122" s="100"/>
      <c r="B122" s="100"/>
      <c r="C122" s="100"/>
      <c r="D122" s="100"/>
      <c r="E122" s="100"/>
      <c r="F122" s="100"/>
    </row>
    <row r="123" spans="1:12">
      <c r="A123" s="100"/>
      <c r="B123" s="100"/>
      <c r="C123" s="100"/>
      <c r="D123" s="100"/>
      <c r="E123" s="100"/>
      <c r="F123" s="100"/>
    </row>
    <row r="124" spans="1:12">
      <c r="A124" s="100"/>
      <c r="B124" s="100"/>
      <c r="C124" s="100"/>
      <c r="D124" s="100"/>
      <c r="E124" s="100"/>
      <c r="F124" s="100"/>
    </row>
    <row r="125" spans="1:12">
      <c r="A125" s="100"/>
      <c r="B125" s="100"/>
      <c r="C125" s="100"/>
      <c r="D125" s="100"/>
      <c r="E125" s="100"/>
      <c r="F125" s="100"/>
    </row>
    <row r="126" spans="1:12">
      <c r="A126" s="100"/>
      <c r="B126" s="100"/>
      <c r="C126" s="100"/>
      <c r="D126" s="100"/>
      <c r="E126" s="100"/>
      <c r="F126" s="100"/>
    </row>
    <row r="127" spans="1:12">
      <c r="A127" s="100"/>
      <c r="B127" s="100"/>
      <c r="C127" s="100"/>
      <c r="D127" s="100"/>
      <c r="E127" s="100"/>
      <c r="F127" s="100"/>
    </row>
    <row r="128" spans="1:12">
      <c r="A128" s="100"/>
      <c r="B128" s="100"/>
      <c r="C128" s="100"/>
      <c r="D128" s="100"/>
      <c r="E128" s="100"/>
      <c r="F128" s="100"/>
    </row>
    <row r="129" spans="1:10">
      <c r="A129" s="100"/>
      <c r="B129" s="100"/>
      <c r="C129" s="100"/>
      <c r="D129" s="100"/>
      <c r="E129" s="100"/>
      <c r="F129" s="100"/>
    </row>
    <row r="130" spans="1:10">
      <c r="A130" s="100"/>
      <c r="B130" s="100"/>
      <c r="C130" s="100"/>
      <c r="D130" s="100"/>
      <c r="E130" s="100"/>
      <c r="F130" s="100"/>
    </row>
    <row r="131" spans="1:10">
      <c r="A131" s="100"/>
      <c r="B131" s="100"/>
      <c r="C131" s="100"/>
      <c r="D131" s="100"/>
      <c r="E131" s="100"/>
      <c r="F131" s="100"/>
    </row>
    <row r="132" spans="1:10">
      <c r="A132" s="100"/>
      <c r="B132" s="100"/>
      <c r="C132" s="100"/>
      <c r="D132" s="100"/>
      <c r="E132" s="100"/>
      <c r="F132" s="100"/>
    </row>
    <row r="133" spans="1:10">
      <c r="A133" s="100"/>
      <c r="B133" s="100"/>
      <c r="C133" s="100"/>
      <c r="D133" s="100"/>
      <c r="E133" s="100"/>
      <c r="F133" s="100"/>
    </row>
    <row r="134" spans="1:10">
      <c r="A134" s="100"/>
      <c r="B134" s="100"/>
      <c r="C134" s="100"/>
      <c r="D134" s="100"/>
      <c r="E134" s="100"/>
      <c r="F134" s="100"/>
    </row>
    <row r="135" spans="1:10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>
      <c r="A138" s="100"/>
      <c r="B138" s="100"/>
      <c r="C138" s="100"/>
      <c r="D138" s="100"/>
      <c r="E138" s="100"/>
      <c r="F138" s="100"/>
      <c r="H138" s="147">
        <v>2308500</v>
      </c>
    </row>
    <row r="139" spans="1:10">
      <c r="A139" s="100"/>
      <c r="B139" s="100"/>
      <c r="C139" s="100"/>
      <c r="D139" s="100"/>
      <c r="E139" s="100"/>
      <c r="F139" s="100"/>
    </row>
    <row r="140" spans="1:10">
      <c r="A140" s="100"/>
      <c r="B140" s="100"/>
      <c r="C140" s="100"/>
      <c r="D140" s="100"/>
      <c r="E140" s="100"/>
      <c r="F140" s="100"/>
    </row>
    <row r="141" spans="1:10">
      <c r="A141" s="100"/>
      <c r="B141" s="100"/>
      <c r="C141" s="100"/>
      <c r="D141" s="100"/>
      <c r="E141" s="100"/>
      <c r="F141" s="100"/>
    </row>
    <row r="142" spans="1:10">
      <c r="A142" s="100"/>
      <c r="B142" s="100"/>
      <c r="C142" s="100"/>
      <c r="D142" s="100"/>
      <c r="E142" s="100"/>
      <c r="F142" s="100"/>
    </row>
    <row r="143" spans="1:10">
      <c r="A143" s="100"/>
      <c r="B143" s="100"/>
      <c r="C143" s="100"/>
      <c r="D143" s="100"/>
      <c r="E143" s="100"/>
      <c r="F143" s="100"/>
    </row>
    <row r="144" spans="1:10">
      <c r="A144" s="100"/>
      <c r="B144" s="100"/>
      <c r="C144" s="100"/>
      <c r="D144" s="100"/>
      <c r="E144" s="100"/>
      <c r="F144" s="100"/>
      <c r="G144" t="s">
        <v>25</v>
      </c>
    </row>
    <row r="145" spans="1:6">
      <c r="A145" s="100"/>
      <c r="B145" s="100"/>
      <c r="C145" s="100"/>
      <c r="D145" s="100"/>
      <c r="E145" s="100"/>
      <c r="F145" s="100"/>
    </row>
    <row r="146" spans="1:6">
      <c r="A146" s="100"/>
      <c r="B146" s="100"/>
      <c r="C146" s="100"/>
      <c r="D146" s="100"/>
      <c r="E146" s="100"/>
      <c r="F146" s="100"/>
    </row>
    <row r="147" spans="1:6">
      <c r="A147" s="100"/>
      <c r="B147" s="100"/>
      <c r="C147" s="100"/>
      <c r="D147" s="100"/>
      <c r="E147" s="100"/>
      <c r="F147" s="100"/>
    </row>
    <row r="148" spans="1:6">
      <c r="A148" s="100"/>
      <c r="B148" s="100"/>
      <c r="C148" s="100"/>
      <c r="D148" s="100"/>
      <c r="E148" s="100"/>
      <c r="F148" s="100"/>
    </row>
    <row r="149" spans="1:6">
      <c r="A149" s="100"/>
      <c r="B149" s="100"/>
      <c r="C149" s="100"/>
      <c r="D149" s="100"/>
      <c r="E149" s="100"/>
      <c r="F149" s="100"/>
    </row>
    <row r="150" spans="1:6">
      <c r="A150" s="100"/>
      <c r="B150" s="100"/>
      <c r="C150" s="100"/>
      <c r="D150" s="100"/>
      <c r="E150" s="100"/>
      <c r="F150" s="100"/>
    </row>
    <row r="151" spans="1:6">
      <c r="A151" s="100"/>
      <c r="B151" s="100"/>
      <c r="C151" s="100"/>
      <c r="D151" s="100"/>
      <c r="E151" s="100"/>
      <c r="F151" s="100"/>
    </row>
    <row r="152" spans="1:6">
      <c r="A152" s="100"/>
      <c r="B152" s="100"/>
      <c r="C152" s="100"/>
      <c r="D152" s="100"/>
      <c r="E152" s="100"/>
      <c r="F152" s="100"/>
    </row>
    <row r="153" spans="1:6">
      <c r="A153" s="100"/>
      <c r="B153" s="100"/>
      <c r="C153" s="100"/>
      <c r="D153" s="100"/>
      <c r="E153" s="100"/>
      <c r="F153" s="100"/>
    </row>
    <row r="154" spans="1:6">
      <c r="A154" s="100"/>
      <c r="B154" s="100"/>
      <c r="C154" s="100"/>
      <c r="D154" s="100"/>
      <c r="E154" s="100"/>
      <c r="F154" s="100"/>
    </row>
    <row r="155" spans="1:6">
      <c r="A155" s="100"/>
      <c r="B155" s="100"/>
      <c r="C155" s="100"/>
      <c r="D155" s="100"/>
      <c r="E155" s="100"/>
      <c r="F155" s="100"/>
    </row>
    <row r="156" spans="1:6">
      <c r="A156" s="100"/>
      <c r="B156" s="100"/>
      <c r="C156" s="100"/>
      <c r="D156" s="100"/>
      <c r="E156" s="100"/>
      <c r="F156" s="100"/>
    </row>
    <row r="157" spans="1:6">
      <c r="A157" s="100"/>
      <c r="B157" s="100"/>
      <c r="C157" s="100"/>
      <c r="D157" s="100"/>
      <c r="E157" s="100"/>
      <c r="F157" s="100"/>
    </row>
    <row r="158" spans="1:6">
      <c r="A158" s="100"/>
      <c r="B158" s="100"/>
      <c r="C158" s="100"/>
      <c r="D158" s="100"/>
      <c r="E158" s="100"/>
      <c r="F158" s="100"/>
    </row>
    <row r="159" spans="1:6">
      <c r="A159" s="100"/>
      <c r="B159" s="100"/>
      <c r="C159" s="100"/>
      <c r="D159" s="100"/>
      <c r="E159" s="100"/>
      <c r="F159" s="100"/>
    </row>
    <row r="160" spans="1:6">
      <c r="A160" s="100"/>
      <c r="B160" s="100"/>
      <c r="C160" s="100"/>
      <c r="D160" s="100"/>
      <c r="E160" s="100"/>
      <c r="F160" s="100"/>
    </row>
    <row r="161" spans="1:6">
      <c r="A161" s="100"/>
      <c r="B161" s="100"/>
      <c r="C161" s="100"/>
      <c r="D161" s="100"/>
      <c r="E161" s="100"/>
      <c r="F161" s="100"/>
    </row>
    <row r="162" spans="1:6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3760</v>
      </c>
      <c r="I1" t="s">
        <v>3766</v>
      </c>
    </row>
    <row r="2" spans="1:12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>
      <c r="A3">
        <v>2</v>
      </c>
      <c r="B3" t="s">
        <v>3755</v>
      </c>
      <c r="G3" s="127"/>
      <c r="H3" t="s">
        <v>3762</v>
      </c>
      <c r="I3" t="s">
        <v>3768</v>
      </c>
    </row>
    <row r="4" spans="1:12">
      <c r="A4">
        <v>3</v>
      </c>
      <c r="B4" t="s">
        <v>3756</v>
      </c>
      <c r="H4" t="s">
        <v>3763</v>
      </c>
      <c r="L4" s="127"/>
    </row>
    <row r="5" spans="1:12">
      <c r="H5" t="s">
        <v>3765</v>
      </c>
    </row>
    <row r="6" spans="1:12">
      <c r="B6" s="127" t="s">
        <v>3759</v>
      </c>
      <c r="H6" t="s">
        <v>3769</v>
      </c>
    </row>
    <row r="7" spans="1:12">
      <c r="H7" t="s">
        <v>3770</v>
      </c>
    </row>
    <row r="8" spans="1:12">
      <c r="H8" t="s">
        <v>3771</v>
      </c>
    </row>
    <row r="9" spans="1:12">
      <c r="H9" t="s">
        <v>3784</v>
      </c>
    </row>
    <row r="10" spans="1:12">
      <c r="H10" t="s">
        <v>3785</v>
      </c>
    </row>
    <row r="11" spans="1:12">
      <c r="H11" t="s">
        <v>3786</v>
      </c>
    </row>
    <row r="12" spans="1:12">
      <c r="H12" t="s">
        <v>3788</v>
      </c>
    </row>
    <row r="13" spans="1:12">
      <c r="H13" t="s">
        <v>3787</v>
      </c>
    </row>
    <row r="18" spans="1:8">
      <c r="A18" s="103" t="s">
        <v>3772</v>
      </c>
      <c r="B18" s="103"/>
      <c r="C18" s="103"/>
      <c r="D18" s="103"/>
    </row>
    <row r="19" spans="1:8">
      <c r="A19" s="103">
        <v>1</v>
      </c>
      <c r="B19" s="103" t="s">
        <v>3773</v>
      </c>
      <c r="C19" s="103" t="s">
        <v>3775</v>
      </c>
      <c r="D19" s="103"/>
    </row>
    <row r="20" spans="1:8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>
      <c r="A21" s="103"/>
      <c r="B21" s="103"/>
      <c r="C21" s="103"/>
      <c r="D21" s="103"/>
      <c r="G21" s="127"/>
    </row>
    <row r="22" spans="1:8">
      <c r="A22" s="103"/>
      <c r="B22" s="103"/>
      <c r="C22" s="103"/>
      <c r="D22" s="103"/>
    </row>
    <row r="23" spans="1:8">
      <c r="A23" s="103"/>
      <c r="B23" s="103"/>
      <c r="C23" s="103"/>
      <c r="D23" s="103"/>
    </row>
    <row r="24" spans="1:8">
      <c r="A24" s="103"/>
      <c r="B24" s="103"/>
      <c r="C24" s="103"/>
      <c r="D24" s="103"/>
    </row>
    <row r="25" spans="1:8">
      <c r="A25" s="103"/>
      <c r="B25" s="103"/>
      <c r="C25" s="103"/>
      <c r="D25" s="103"/>
    </row>
    <row r="26" spans="1:8">
      <c r="A26" s="103"/>
      <c r="B26" s="103"/>
      <c r="C26" s="103"/>
      <c r="D26" s="103"/>
    </row>
    <row r="27" spans="1:8">
      <c r="A27" s="103"/>
      <c r="B27" s="103"/>
      <c r="C27" s="103"/>
      <c r="D27" s="103"/>
    </row>
    <row r="28" spans="1:8">
      <c r="A28" s="103"/>
      <c r="B28" s="103"/>
      <c r="C28" s="103"/>
      <c r="D28" s="103"/>
    </row>
    <row r="29" spans="1:8">
      <c r="A29" s="103"/>
      <c r="B29" s="103"/>
      <c r="C29" s="103"/>
      <c r="D29" s="103"/>
    </row>
    <row r="30" spans="1:8">
      <c r="A30" s="103"/>
      <c r="B30" s="103"/>
      <c r="C30" s="103"/>
      <c r="D30" s="103"/>
      <c r="H30" s="127"/>
    </row>
    <row r="31" spans="1:8">
      <c r="A31" s="103"/>
      <c r="B31" s="103"/>
      <c r="C31" s="103"/>
      <c r="D31" s="103"/>
    </row>
    <row r="32" spans="1:8">
      <c r="A32" s="103"/>
      <c r="B32" s="103"/>
      <c r="C32" s="103"/>
      <c r="D32" s="103"/>
    </row>
    <row r="33" spans="1:8">
      <c r="A33" s="103"/>
      <c r="B33" s="103"/>
      <c r="C33" s="103"/>
      <c r="D33" s="103"/>
    </row>
    <row r="34" spans="1:8">
      <c r="A34" s="103"/>
      <c r="B34" s="103"/>
      <c r="C34" s="103"/>
      <c r="D34" s="103"/>
    </row>
    <row r="35" spans="1:8">
      <c r="A35" s="103"/>
      <c r="B35" s="103"/>
      <c r="C35" s="103"/>
      <c r="D35" s="103"/>
    </row>
    <row r="38" spans="1:8">
      <c r="B38" t="s">
        <v>3782</v>
      </c>
      <c r="H38" s="22"/>
    </row>
    <row r="39" spans="1:8">
      <c r="A39">
        <v>1</v>
      </c>
      <c r="B39" t="s">
        <v>3779</v>
      </c>
    </row>
    <row r="40" spans="1:8">
      <c r="A40">
        <v>2</v>
      </c>
      <c r="B40" t="s">
        <v>3783</v>
      </c>
    </row>
    <row r="41" spans="1:8">
      <c r="A41">
        <v>3</v>
      </c>
      <c r="B41" t="s">
        <v>3780</v>
      </c>
    </row>
    <row r="42" spans="1:8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>
      <c r="B5">
        <v>2</v>
      </c>
      <c r="C5" s="114">
        <v>5000000</v>
      </c>
      <c r="D5">
        <v>6</v>
      </c>
    </row>
    <row r="6" spans="2:19">
      <c r="B6">
        <v>3</v>
      </c>
      <c r="C6" s="114">
        <v>2840000</v>
      </c>
      <c r="D6">
        <f>H3*C6+H4</f>
        <v>14.64</v>
      </c>
    </row>
    <row r="7" spans="2:19">
      <c r="B7">
        <v>4</v>
      </c>
    </row>
    <row r="8" spans="2:19">
      <c r="Q8" t="s">
        <v>3885</v>
      </c>
      <c r="R8" t="s">
        <v>3940</v>
      </c>
      <c r="S8" t="s">
        <v>3993</v>
      </c>
    </row>
    <row r="9" spans="2:19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943</v>
      </c>
      <c r="Q11" s="114">
        <v>77000</v>
      </c>
      <c r="R11" s="114">
        <v>59000</v>
      </c>
      <c r="S11" s="114">
        <v>58000</v>
      </c>
    </row>
    <row r="12" spans="2:19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R9" sqref="R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4256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4257</v>
      </c>
      <c r="R8" s="119" t="s">
        <v>4258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4070</v>
      </c>
      <c r="L19" t="s">
        <v>4071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4072</v>
      </c>
      <c r="M20" t="s">
        <v>4073</v>
      </c>
      <c r="N20" t="s">
        <v>4172</v>
      </c>
      <c r="O20" t="s">
        <v>4173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>
      <c r="A104" s="175" t="s">
        <v>25</v>
      </c>
      <c r="B104" s="176"/>
      <c r="C104" s="177"/>
      <c r="D104" s="175"/>
      <c r="E104" s="175"/>
      <c r="F104" s="175"/>
      <c r="G104" s="175"/>
    </row>
    <row r="105" spans="1:7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>
      <c r="A185" s="103" t="s">
        <v>4019</v>
      </c>
      <c r="B185" s="38">
        <v>-60100</v>
      </c>
      <c r="C185" s="73" t="s">
        <v>4020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>
      <c r="A186" s="103" t="s">
        <v>4019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>
      <c r="A187" s="103" t="s">
        <v>4036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>
      <c r="A188" s="103" t="s">
        <v>4046</v>
      </c>
      <c r="B188" s="38">
        <v>-16000</v>
      </c>
      <c r="C188" s="73" t="s">
        <v>4047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>
      <c r="A189" s="103" t="s">
        <v>4049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>
      <c r="A190" s="103" t="s">
        <v>4055</v>
      </c>
      <c r="B190" s="38">
        <v>-10350</v>
      </c>
      <c r="C190" s="73" t="s">
        <v>4056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854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topLeftCell="I22" zoomScaleNormal="100" workbookViewId="0">
      <selection activeCell="N45" sqref="N4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22.5703125" bestFit="1" customWidth="1"/>
    <col min="42" max="42" width="9.7109375" bestFit="1" customWidth="1"/>
    <col min="43" max="43" width="16.140625" bestFit="1" customWidth="1"/>
    <col min="44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-L80*12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</row>
    <row r="7" spans="1: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</row>
    <row r="13" spans="1: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2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سارا!D207</f>
        <v>38149394</v>
      </c>
      <c r="P17" s="28"/>
      <c r="Q17" s="182">
        <v>74302282</v>
      </c>
      <c r="R17" s="181" t="s">
        <v>4040</v>
      </c>
      <c r="S17" s="181">
        <v>4</v>
      </c>
      <c r="T17" s="181" t="s">
        <v>4088</v>
      </c>
      <c r="U17" s="119"/>
      <c r="V17" s="119"/>
      <c r="W17" s="120"/>
      <c r="X17" s="119"/>
      <c r="Y17" s="119"/>
    </row>
    <row r="18" spans="1:52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1" t="s">
        <v>683</v>
      </c>
      <c r="L18" s="121">
        <v>1000000</v>
      </c>
      <c r="M18" s="103" t="s">
        <v>4137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0"/>
      <c r="AP18" s="100"/>
      <c r="AQ18" s="100"/>
      <c r="AT18" s="100"/>
      <c r="AU18" s="100"/>
      <c r="AV18" s="100"/>
      <c r="AW18" s="100"/>
      <c r="AX18" s="100"/>
      <c r="AY18" s="100"/>
      <c r="AZ18" s="100"/>
    </row>
    <row r="19" spans="1:52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4250</v>
      </c>
      <c r="K19" s="181" t="s">
        <v>4285</v>
      </c>
      <c r="L19" s="121">
        <f>-شهریور97!D83</f>
        <v>50011249</v>
      </c>
      <c r="M19" s="181" t="s">
        <v>4224</v>
      </c>
      <c r="N19" s="117">
        <f>1608*P30</f>
        <v>5922264</v>
      </c>
      <c r="O19" s="179" t="s">
        <v>4041</v>
      </c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4105</v>
      </c>
      <c r="AJ19" s="69" t="s">
        <v>4097</v>
      </c>
      <c r="AK19" s="69" t="s">
        <v>282</v>
      </c>
      <c r="AL19" s="103"/>
      <c r="AN19" s="100"/>
      <c r="AO19" s="100"/>
      <c r="AP19" s="100"/>
      <c r="AQ19" s="100"/>
      <c r="AT19" s="100"/>
      <c r="AU19" s="100"/>
      <c r="AV19" s="100"/>
      <c r="AW19" s="100"/>
      <c r="AX19" s="100"/>
      <c r="AY19" s="100"/>
      <c r="AZ19" s="100"/>
    </row>
    <row r="20" spans="1:52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L49</f>
        <v>96954451</v>
      </c>
      <c r="G20" s="29">
        <f t="shared" si="0"/>
        <v>11111401.23819311</v>
      </c>
      <c r="H20" s="36" t="s">
        <v>4251</v>
      </c>
      <c r="K20" s="181"/>
      <c r="L20" s="121"/>
      <c r="M20" s="181" t="s">
        <v>4225</v>
      </c>
      <c r="N20" s="117">
        <f>109*P34</f>
        <v>58969</v>
      </c>
      <c r="O20" s="191"/>
      <c r="P20" s="100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160</v>
      </c>
      <c r="AK20" s="117">
        <f>AH20*AJ20</f>
        <v>2880000000</v>
      </c>
      <c r="AL20" s="103"/>
      <c r="AN20" s="100"/>
      <c r="AO20" s="100"/>
      <c r="AP20" s="100"/>
      <c r="AQ20" s="100"/>
      <c r="AT20" s="100"/>
      <c r="AU20" s="100"/>
      <c r="AV20" s="100"/>
      <c r="AW20" s="100"/>
      <c r="AX20" s="100"/>
      <c r="AY20" s="100"/>
      <c r="AZ20" s="100"/>
    </row>
    <row r="21" spans="1:52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456</v>
      </c>
      <c r="L21" s="121">
        <v>110000</v>
      </c>
      <c r="M21" s="181" t="s">
        <v>757</v>
      </c>
      <c r="N21" s="117">
        <v>3000000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159</v>
      </c>
      <c r="AK21" s="117">
        <f t="shared" ref="AK21:AK69" si="5">AH21*AJ21</f>
        <v>397500000</v>
      </c>
      <c r="AL21" s="103"/>
      <c r="AN21" s="100"/>
      <c r="AO21" s="100"/>
      <c r="AP21" s="100"/>
      <c r="AQ21" s="100"/>
      <c r="AT21" s="100"/>
      <c r="AU21" s="100"/>
      <c r="AV21" s="100"/>
      <c r="AW21" s="100"/>
      <c r="AX21" s="100"/>
      <c r="AY21" s="100"/>
      <c r="AZ21" s="100"/>
    </row>
    <row r="22" spans="1:52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732</v>
      </c>
      <c r="L22" s="121">
        <v>0</v>
      </c>
      <c r="M22" s="181" t="s">
        <v>4286</v>
      </c>
      <c r="N22" s="117">
        <f>-1*L19</f>
        <v>-50011249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158</v>
      </c>
      <c r="AK22" s="117">
        <f t="shared" si="5"/>
        <v>1264000000</v>
      </c>
      <c r="AL22" s="103"/>
      <c r="AN22" s="100"/>
      <c r="AO22" s="100"/>
      <c r="AP22" s="100"/>
      <c r="AQ22" s="100"/>
      <c r="AT22" s="100"/>
      <c r="AU22" s="100"/>
      <c r="AV22" s="100"/>
      <c r="AW22" s="100"/>
      <c r="AX22" s="100"/>
      <c r="AY22" s="100"/>
      <c r="AZ22" s="100"/>
    </row>
    <row r="23" spans="1:52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919</v>
      </c>
      <c r="L23" s="121">
        <v>4800000</v>
      </c>
      <c r="M23" s="181" t="s">
        <v>754</v>
      </c>
      <c r="N23" s="117">
        <v>500000</v>
      </c>
      <c r="P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4101</v>
      </c>
      <c r="AH23" s="117">
        <v>-79552</v>
      </c>
      <c r="AI23" s="103">
        <v>1</v>
      </c>
      <c r="AJ23" s="103">
        <f t="shared" si="4"/>
        <v>157</v>
      </c>
      <c r="AK23" s="117">
        <f t="shared" si="5"/>
        <v>-12489664</v>
      </c>
      <c r="AL23" s="103"/>
      <c r="AN23" s="100"/>
      <c r="AO23" s="100"/>
      <c r="AP23" s="100"/>
      <c r="AQ23" s="100"/>
      <c r="AT23" s="100"/>
      <c r="AU23" s="100"/>
      <c r="AV23" s="100"/>
      <c r="AW23" s="100"/>
      <c r="AX23" s="100"/>
      <c r="AY23" s="100"/>
      <c r="AZ23" s="100"/>
    </row>
    <row r="24" spans="1:52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930</v>
      </c>
      <c r="L24" s="121">
        <v>0</v>
      </c>
      <c r="M24" s="181" t="s">
        <v>761</v>
      </c>
      <c r="N24" s="117">
        <v>1200000</v>
      </c>
      <c r="O24" t="s">
        <v>25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156</v>
      </c>
      <c r="AK24" s="117">
        <f t="shared" si="5"/>
        <v>25818000</v>
      </c>
      <c r="AL24" s="103"/>
      <c r="AN24" s="100"/>
      <c r="AO24" s="100"/>
      <c r="AP24" s="100"/>
      <c r="AQ24" s="100"/>
      <c r="AT24" s="100"/>
      <c r="AU24" s="100"/>
      <c r="AV24" s="100"/>
      <c r="AW24" s="100"/>
      <c r="AX24" s="100"/>
      <c r="AY24" s="100"/>
      <c r="AZ24" s="100"/>
    </row>
    <row r="25" spans="1:52" ht="60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 t="s">
        <v>1091</v>
      </c>
      <c r="L25" s="121">
        <f>سکه!T22</f>
        <v>91000000</v>
      </c>
      <c r="M25" s="73" t="s">
        <v>3997</v>
      </c>
      <c r="N25" s="117">
        <v>4000000</v>
      </c>
      <c r="O25" s="22" t="s">
        <v>4114</v>
      </c>
      <c r="W25" s="103"/>
      <c r="X25" s="103"/>
      <c r="Y25" s="103"/>
      <c r="Z25" s="103"/>
      <c r="AA25" s="103" t="s">
        <v>4086</v>
      </c>
      <c r="AB25" s="185">
        <v>180</v>
      </c>
      <c r="AC25" s="103"/>
      <c r="AD25" s="103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144</v>
      </c>
      <c r="AK25" s="117">
        <f t="shared" si="5"/>
        <v>-4151567088</v>
      </c>
      <c r="AL25" s="103"/>
      <c r="AN25" s="100"/>
      <c r="AO25" s="100"/>
      <c r="AP25" s="100"/>
      <c r="AQ25" s="100"/>
      <c r="AT25" s="100"/>
      <c r="AU25" s="100"/>
      <c r="AV25" s="100"/>
      <c r="AW25" s="100"/>
      <c r="AX25" s="100"/>
      <c r="AY25" s="100"/>
      <c r="AZ25" s="100"/>
    </row>
    <row r="26" spans="1:52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 t="s">
        <v>4276</v>
      </c>
      <c r="L26" s="121">
        <v>-50000000</v>
      </c>
      <c r="M26" s="181" t="s">
        <v>1091</v>
      </c>
      <c r="N26" s="117">
        <v>106500000</v>
      </c>
      <c r="Q26" s="73"/>
      <c r="R26" s="116"/>
      <c r="S26" s="116"/>
      <c r="T26" s="116"/>
      <c r="W26" s="103"/>
      <c r="X26" s="99"/>
      <c r="Y26" s="103"/>
      <c r="Z26" s="103"/>
      <c r="AA26" s="103" t="s">
        <v>4087</v>
      </c>
      <c r="AB26" s="185">
        <v>3650</v>
      </c>
      <c r="AC26" s="103"/>
      <c r="AD26" s="103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138</v>
      </c>
      <c r="AK26" s="117">
        <f t="shared" si="5"/>
        <v>2553000000</v>
      </c>
      <c r="AL26" s="103"/>
      <c r="AN26" s="100"/>
      <c r="AO26" s="100"/>
      <c r="AP26" s="100"/>
      <c r="AQ26" s="100"/>
      <c r="AT26" s="100"/>
      <c r="AU26" s="100"/>
      <c r="AV26" s="100"/>
      <c r="AW26" s="100"/>
      <c r="AX26" s="100"/>
      <c r="AY26" s="100"/>
      <c r="AZ26" s="100"/>
    </row>
    <row r="27" spans="1:52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/>
      <c r="L27" s="121"/>
      <c r="M27" s="181" t="s">
        <v>4136</v>
      </c>
      <c r="N27" s="117">
        <v>-20000000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137</v>
      </c>
      <c r="AK27" s="117">
        <f t="shared" si="5"/>
        <v>-2541350000</v>
      </c>
      <c r="AL27" s="103"/>
      <c r="AN27" s="100"/>
      <c r="AO27" s="100"/>
      <c r="AP27" s="100"/>
      <c r="AQ27" s="100"/>
      <c r="AT27" s="100"/>
      <c r="AU27" s="100"/>
      <c r="AV27" s="100"/>
      <c r="AW27" s="100"/>
      <c r="AX27" s="100"/>
      <c r="AY27" s="100"/>
      <c r="AZ27" s="100"/>
    </row>
    <row r="28" spans="1:52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 t="s">
        <v>4276</v>
      </c>
      <c r="N28" s="117">
        <v>-50000000</v>
      </c>
      <c r="O28" s="100"/>
      <c r="P28" s="100"/>
      <c r="Q28" s="38">
        <v>2458039</v>
      </c>
      <c r="R28" s="116" t="s">
        <v>3947</v>
      </c>
      <c r="S28" s="116">
        <v>67</v>
      </c>
      <c r="T28" s="73" t="s">
        <v>4032</v>
      </c>
      <c r="U28" s="117">
        <f>Q28*0.02*S28/31</f>
        <v>106250.71806451613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136</v>
      </c>
      <c r="AK28" s="117">
        <f t="shared" si="5"/>
        <v>-8834696</v>
      </c>
      <c r="AL28" s="103"/>
      <c r="AN28" s="100"/>
      <c r="AO28" s="100"/>
      <c r="AP28" s="100"/>
      <c r="AQ28" s="100"/>
      <c r="AT28" s="100"/>
      <c r="AU28" s="100"/>
      <c r="AV28" s="100"/>
      <c r="AW28" s="100"/>
      <c r="AX28" s="100"/>
      <c r="AY28" s="100"/>
      <c r="AZ28" s="100"/>
    </row>
    <row r="29" spans="1:52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1"/>
      <c r="L29" s="121"/>
      <c r="M29" s="181" t="s">
        <v>3922</v>
      </c>
      <c r="N29" s="117">
        <v>45600147</v>
      </c>
      <c r="O29" s="103" t="s">
        <v>939</v>
      </c>
      <c r="P29" s="103" t="s">
        <v>3964</v>
      </c>
      <c r="Q29" s="38">
        <v>18766862</v>
      </c>
      <c r="R29" s="116" t="s">
        <v>4040</v>
      </c>
      <c r="S29" s="116">
        <f>S28-27</f>
        <v>40</v>
      </c>
      <c r="T29" s="116" t="s">
        <v>4209</v>
      </c>
      <c r="U29" s="117">
        <f t="shared" ref="U29:U31" si="6">Q29*0.02*S29/31</f>
        <v>484306.11612903222</v>
      </c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131</v>
      </c>
      <c r="AK29" s="117">
        <f t="shared" si="5"/>
        <v>838400000</v>
      </c>
      <c r="AL29" s="103"/>
      <c r="AN29" s="100"/>
      <c r="AO29" s="100"/>
      <c r="AP29" s="100"/>
      <c r="AQ29" s="100"/>
      <c r="AT29" s="100"/>
      <c r="AU29" s="100"/>
      <c r="AV29" s="100"/>
      <c r="AW29" s="100"/>
      <c r="AX29" s="100"/>
      <c r="AY29" s="100"/>
      <c r="AZ29" s="100"/>
    </row>
    <row r="30" spans="1:52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1" t="s">
        <v>4016</v>
      </c>
      <c r="N30" s="117">
        <f>O30*P30</f>
        <v>22193758</v>
      </c>
      <c r="O30" s="103">
        <v>6026</v>
      </c>
      <c r="P30" s="103">
        <v>3683</v>
      </c>
      <c r="Q30" s="173">
        <v>944261</v>
      </c>
      <c r="R30" s="8" t="s">
        <v>4182</v>
      </c>
      <c r="S30" s="41">
        <f>S29-33</f>
        <v>7</v>
      </c>
      <c r="T30" s="8" t="s">
        <v>4198</v>
      </c>
      <c r="U30" s="117">
        <f t="shared" si="6"/>
        <v>4264.4045161290323</v>
      </c>
      <c r="V30" s="26"/>
      <c r="W30" s="103"/>
      <c r="X30" s="103" t="s">
        <v>4117</v>
      </c>
      <c r="Y30" s="103" t="s">
        <v>4118</v>
      </c>
      <c r="Z30" s="103" t="s">
        <v>939</v>
      </c>
      <c r="AA30" s="103" t="s">
        <v>4119</v>
      </c>
      <c r="AB30" s="103"/>
      <c r="AC30" s="103"/>
      <c r="AD30" s="103"/>
      <c r="AF30" s="103">
        <v>11</v>
      </c>
      <c r="AG30" s="117" t="s">
        <v>4102</v>
      </c>
      <c r="AH30" s="117">
        <v>-170000</v>
      </c>
      <c r="AI30" s="103">
        <v>5</v>
      </c>
      <c r="AJ30" s="103">
        <f t="shared" si="4"/>
        <v>130</v>
      </c>
      <c r="AK30" s="117">
        <f t="shared" si="5"/>
        <v>-22100000</v>
      </c>
      <c r="AL30" s="103"/>
      <c r="AN30" s="100"/>
      <c r="AO30" s="100"/>
      <c r="AP30" s="100"/>
      <c r="AQ30" s="100"/>
      <c r="AT30" s="100"/>
      <c r="AU30" s="100"/>
      <c r="AV30" s="100"/>
      <c r="AW30" s="100"/>
      <c r="AX30" s="100"/>
      <c r="AY30" s="100"/>
      <c r="AZ30" s="100"/>
    </row>
    <row r="31" spans="1:52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32" t="s">
        <v>4123</v>
      </c>
      <c r="N31" s="117">
        <f>O31*P31</f>
        <v>51637779.899999999</v>
      </c>
      <c r="O31" s="103">
        <v>282637</v>
      </c>
      <c r="P31" s="103">
        <v>182.7</v>
      </c>
      <c r="Q31" s="38">
        <v>12983567</v>
      </c>
      <c r="R31" s="116" t="s">
        <v>4204</v>
      </c>
      <c r="S31" s="116">
        <f>S30-1</f>
        <v>6</v>
      </c>
      <c r="T31" s="116" t="s">
        <v>4210</v>
      </c>
      <c r="U31" s="117">
        <f t="shared" si="6"/>
        <v>50258.969032258065</v>
      </c>
      <c r="V31" s="26"/>
      <c r="W31" s="103" t="s">
        <v>4127</v>
      </c>
      <c r="X31" s="103">
        <v>3301.8</v>
      </c>
      <c r="Y31" s="103">
        <f>X31/(1+$X$41)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125</v>
      </c>
      <c r="AK31" s="117">
        <f t="shared" si="5"/>
        <v>-787500000</v>
      </c>
      <c r="AL31" s="103"/>
      <c r="AN31" s="100"/>
      <c r="AO31" s="100"/>
      <c r="AP31" s="100"/>
      <c r="AQ31" s="100"/>
      <c r="AT31" s="100"/>
      <c r="AU31" s="100"/>
      <c r="AV31" s="100"/>
      <c r="AW31" s="100"/>
      <c r="AX31" s="100"/>
      <c r="AY31" s="100"/>
      <c r="AZ31" s="100"/>
    </row>
    <row r="32" spans="1:52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181" t="s">
        <v>4190</v>
      </c>
      <c r="N32" s="117">
        <f>O32*P32</f>
        <v>96554437</v>
      </c>
      <c r="O32" s="103">
        <v>8951</v>
      </c>
      <c r="P32" s="103">
        <v>10787</v>
      </c>
      <c r="Q32" s="182">
        <v>53805</v>
      </c>
      <c r="R32" s="116" t="s">
        <v>4230</v>
      </c>
      <c r="S32" s="116">
        <f>S31-1</f>
        <v>5</v>
      </c>
      <c r="T32" s="116" t="s">
        <v>4231</v>
      </c>
      <c r="U32" s="117">
        <f t="shared" ref="U32:U33" si="7">Q32*0.02*S32/31</f>
        <v>173.56451612903226</v>
      </c>
      <c r="V32" s="26"/>
      <c r="W32" s="103" t="s">
        <v>752</v>
      </c>
      <c r="X32" s="103">
        <v>3290</v>
      </c>
      <c r="Y32" s="103">
        <f>X32/(1+$X$41)</f>
        <v>3269.4027625956473</v>
      </c>
      <c r="Z32" s="103">
        <v>1608</v>
      </c>
      <c r="AA32" s="117">
        <f t="shared" ref="AA32" si="8">Y32*Z32</f>
        <v>5257199.6422538012</v>
      </c>
      <c r="AB32" s="103"/>
      <c r="AC32" s="103"/>
      <c r="AD32" s="103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124</v>
      </c>
      <c r="AK32" s="117">
        <f t="shared" si="5"/>
        <v>-6449860</v>
      </c>
      <c r="AL32" s="103"/>
      <c r="AN32" s="100"/>
      <c r="AO32" s="100"/>
      <c r="AP32" s="100"/>
      <c r="AQ32" s="100"/>
      <c r="AT32" s="100"/>
      <c r="AU32" s="100"/>
      <c r="AV32" s="100"/>
      <c r="AW32" s="100"/>
      <c r="AX32" s="100"/>
      <c r="AY32" s="100"/>
      <c r="AZ32" s="100"/>
    </row>
    <row r="33" spans="1:5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56"/>
      <c r="N33" s="117"/>
      <c r="O33" s="174"/>
      <c r="P33" s="69"/>
      <c r="Q33" s="182">
        <v>74499487</v>
      </c>
      <c r="R33" s="181" t="s">
        <v>4230</v>
      </c>
      <c r="S33" s="181">
        <f>S32</f>
        <v>5</v>
      </c>
      <c r="T33" s="181" t="s">
        <v>4232</v>
      </c>
      <c r="U33" s="173">
        <f t="shared" si="7"/>
        <v>240320.92580645162</v>
      </c>
      <c r="AB33" s="103"/>
      <c r="AC33" s="103"/>
      <c r="AD33" s="103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108</v>
      </c>
      <c r="AK33" s="117">
        <f t="shared" si="5"/>
        <v>2161879200</v>
      </c>
      <c r="AL33" s="103"/>
      <c r="AN33" s="100"/>
      <c r="AO33" s="100"/>
      <c r="AP33" s="100"/>
      <c r="AQ33" s="100"/>
      <c r="AT33" s="100"/>
      <c r="AU33" s="100"/>
      <c r="AV33" s="100"/>
      <c r="AW33" s="100"/>
      <c r="AX33" s="100"/>
      <c r="AY33" s="100"/>
      <c r="AZ33" s="100"/>
    </row>
    <row r="34" spans="1:52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1" t="s">
        <v>4296</v>
      </c>
      <c r="N34" s="117">
        <f>O34*P34</f>
        <v>58969</v>
      </c>
      <c r="O34" s="192">
        <v>109</v>
      </c>
      <c r="P34" s="103">
        <v>541</v>
      </c>
      <c r="Q34" s="182">
        <v>5804358</v>
      </c>
      <c r="R34" s="116" t="s">
        <v>4271</v>
      </c>
      <c r="S34" s="116">
        <f>S33-4</f>
        <v>1</v>
      </c>
      <c r="T34" s="116" t="s">
        <v>4270</v>
      </c>
      <c r="W34" s="103"/>
      <c r="X34" s="103" t="s">
        <v>4120</v>
      </c>
      <c r="Y34" s="103" t="s">
        <v>4118</v>
      </c>
      <c r="Z34" s="103"/>
      <c r="AA34" s="103" t="s">
        <v>4122</v>
      </c>
      <c r="AB34" s="103"/>
      <c r="AC34" s="103"/>
      <c r="AD34" s="103" t="s">
        <v>4121</v>
      </c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108</v>
      </c>
      <c r="AK34" s="117">
        <f t="shared" si="5"/>
        <v>109562328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158887206.80890375</v>
      </c>
      <c r="F35" s="3"/>
      <c r="G35" s="11"/>
      <c r="H35" s="11"/>
      <c r="K35" s="56"/>
      <c r="L35" s="121"/>
      <c r="M35" s="103"/>
      <c r="N35" s="117"/>
      <c r="O35" s="178"/>
      <c r="P35" s="103"/>
      <c r="Q35" s="182">
        <v>45640035</v>
      </c>
      <c r="R35" s="181" t="s">
        <v>4298</v>
      </c>
      <c r="S35" s="181">
        <f>S34-1</f>
        <v>0</v>
      </c>
      <c r="T35" s="181" t="s">
        <v>4303</v>
      </c>
      <c r="W35" s="103" t="s">
        <v>4127</v>
      </c>
      <c r="X35" s="103">
        <v>165.77038999999999</v>
      </c>
      <c r="Y35" s="103">
        <f>X35*(1+$X$42)</f>
        <v>166.58266491099997</v>
      </c>
      <c r="Z35" s="103">
        <f>AA31/Y35</f>
        <v>100000.14931508193</v>
      </c>
      <c r="AA35" s="117">
        <f>Y35*Z35</f>
        <v>16658291.364404256</v>
      </c>
      <c r="AB35" s="91">
        <f>$AB$25*Z35/(1+$X$41)</f>
        <v>17887336.655783314</v>
      </c>
      <c r="AC35" s="103">
        <f>AB35/($AB$26*(1+$X$42))</f>
        <v>4876.744133412938</v>
      </c>
      <c r="AD35" s="103">
        <f>AC35-Z31</f>
        <v>-200.25586658706197</v>
      </c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96</v>
      </c>
      <c r="AK35" s="117">
        <f t="shared" si="5"/>
        <v>34560000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03"/>
      <c r="R36" s="103"/>
      <c r="S36" s="103"/>
      <c r="T36" s="103"/>
      <c r="W36" s="103"/>
      <c r="X36" s="103"/>
      <c r="Y36" s="103"/>
      <c r="Z36" s="103"/>
      <c r="AA36" s="117"/>
      <c r="AB36" s="91"/>
      <c r="AC36" s="103"/>
      <c r="AD36" s="103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94</v>
      </c>
      <c r="AK36" s="117">
        <f t="shared" si="5"/>
        <v>-32900000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167019952.57663357</v>
      </c>
      <c r="F37" s="3"/>
      <c r="G37" s="11"/>
      <c r="H37" s="11"/>
      <c r="K37" s="56"/>
      <c r="L37" s="121"/>
      <c r="M37" s="103"/>
      <c r="N37" s="103"/>
      <c r="O37" s="103"/>
      <c r="P37" s="103"/>
      <c r="Q37" s="182"/>
      <c r="R37" s="181"/>
      <c r="S37" s="181"/>
      <c r="T37" s="181"/>
      <c r="U37" s="100"/>
      <c r="W37" s="103" t="s">
        <v>752</v>
      </c>
      <c r="X37" s="103">
        <v>162.4</v>
      </c>
      <c r="Y37" s="103">
        <f>X37*(1+$X$42)</f>
        <v>163.19575999999998</v>
      </c>
      <c r="Z37" s="103">
        <v>32243</v>
      </c>
      <c r="AA37" s="117">
        <f t="shared" ref="AA37" si="12">Y37*Z37</f>
        <v>5261920.8896799991</v>
      </c>
      <c r="AB37" s="91">
        <f>$AB$25*Z37/(1+$X$41)</f>
        <v>5767405.3463181956</v>
      </c>
      <c r="AC37" s="103">
        <f>AB37/($AB$26*(1+$X$42))</f>
        <v>1572.4062630966337</v>
      </c>
      <c r="AD37" s="103">
        <f>AC37-Z32</f>
        <v>-35.593736903366334</v>
      </c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94</v>
      </c>
      <c r="AK37" s="117">
        <f t="shared" si="5"/>
        <v>94000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171221508.29573494</v>
      </c>
      <c r="F38" s="3"/>
      <c r="G38" s="11"/>
      <c r="H38" s="11"/>
      <c r="K38" s="103"/>
      <c r="L38" s="103"/>
      <c r="M38" s="73"/>
      <c r="N38" s="121"/>
      <c r="Q38" s="181"/>
      <c r="R38" s="181"/>
      <c r="S38" s="181"/>
      <c r="T38" s="181"/>
      <c r="U38" s="100"/>
      <c r="Y38" t="s">
        <v>4157</v>
      </c>
      <c r="Z38">
        <f>Z35+Z36+Z37</f>
        <v>132243.14931508194</v>
      </c>
      <c r="AA38">
        <f>Z38*P31</f>
        <v>24160823.379865471</v>
      </c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93</v>
      </c>
      <c r="AK38" s="117">
        <f t="shared" si="5"/>
        <v>3125730000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175515706.695894</v>
      </c>
      <c r="F39" s="3"/>
      <c r="G39" s="11"/>
      <c r="H39" s="11"/>
      <c r="K39" s="103"/>
      <c r="L39" s="103"/>
      <c r="M39" s="73"/>
      <c r="N39" s="121"/>
      <c r="O39" s="100"/>
      <c r="Q39" s="117">
        <f>SUM(N30:N34)-SUM(Q28:Q35)</f>
        <v>9294529.900000006</v>
      </c>
      <c r="R39" s="116"/>
      <c r="S39" s="116"/>
      <c r="T39" s="116"/>
      <c r="U39" s="100"/>
      <c r="Y39" t="s">
        <v>4158</v>
      </c>
      <c r="Z39">
        <f>Z35</f>
        <v>100000.14931508193</v>
      </c>
      <c r="AA39">
        <f>Z39*P31</f>
        <v>18270027.279865466</v>
      </c>
      <c r="AB39" t="s">
        <v>25</v>
      </c>
      <c r="AF39" s="103">
        <v>20</v>
      </c>
      <c r="AG39" s="117" t="s">
        <v>4103</v>
      </c>
      <c r="AH39" s="117">
        <v>-15600000</v>
      </c>
      <c r="AI39" s="103">
        <v>3</v>
      </c>
      <c r="AJ39" s="103">
        <f t="shared" si="4"/>
        <v>89</v>
      </c>
      <c r="AK39" s="117">
        <f t="shared" si="5"/>
        <v>-1388400000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179904486.74639872</v>
      </c>
      <c r="F40" s="3"/>
      <c r="G40" s="11"/>
      <c r="H40" s="11"/>
      <c r="K40" s="103"/>
      <c r="L40" s="103"/>
      <c r="M40" s="181" t="s">
        <v>1179</v>
      </c>
      <c r="N40" s="121">
        <v>23571459</v>
      </c>
      <c r="O40" s="100" t="s">
        <v>25</v>
      </c>
      <c r="P40" t="s">
        <v>25</v>
      </c>
      <c r="U40" s="100"/>
      <c r="Y40" t="s">
        <v>4159</v>
      </c>
      <c r="Z40">
        <v>949</v>
      </c>
      <c r="AA40">
        <f>Z40*P30</f>
        <v>3495167</v>
      </c>
      <c r="AB40" t="s">
        <v>25</v>
      </c>
      <c r="AD40" s="100" t="s">
        <v>25</v>
      </c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86</v>
      </c>
      <c r="AK40" s="117">
        <f t="shared" si="5"/>
        <v>645000000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184389827.05707937</v>
      </c>
      <c r="F41" s="3"/>
      <c r="G41" s="11"/>
      <c r="H41" s="11"/>
      <c r="K41" s="103"/>
      <c r="L41" s="103"/>
      <c r="M41" s="181" t="s">
        <v>1180</v>
      </c>
      <c r="N41" s="121">
        <v>30282</v>
      </c>
      <c r="O41" s="100"/>
      <c r="U41" s="100"/>
      <c r="W41" t="s">
        <v>951</v>
      </c>
      <c r="X41">
        <v>6.3E-3</v>
      </c>
      <c r="Y41" t="s">
        <v>4160</v>
      </c>
      <c r="Z41" s="118">
        <f>SUM(N29:N35)</f>
        <v>216045090.90000001</v>
      </c>
      <c r="AA41" t="s">
        <v>25</v>
      </c>
      <c r="AF41" s="103">
        <v>22</v>
      </c>
      <c r="AG41" s="117" t="s">
        <v>4104</v>
      </c>
      <c r="AH41" s="117">
        <v>-98000</v>
      </c>
      <c r="AI41" s="103">
        <v>1</v>
      </c>
      <c r="AJ41" s="103">
        <f t="shared" si="4"/>
        <v>82</v>
      </c>
      <c r="AK41" s="117">
        <f t="shared" si="5"/>
        <v>-8036000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188973746.67973119</v>
      </c>
      <c r="F42" s="3"/>
      <c r="G42" s="11"/>
      <c r="H42" s="11"/>
      <c r="K42" s="181"/>
      <c r="L42" s="121"/>
      <c r="M42" s="181" t="s">
        <v>4214</v>
      </c>
      <c r="N42" s="117">
        <f>-O42*P32</f>
        <v>-30203600</v>
      </c>
      <c r="O42" s="103">
        <v>2800</v>
      </c>
      <c r="P42" s="103">
        <f>P32</f>
        <v>10787</v>
      </c>
      <c r="Q42" t="s">
        <v>25</v>
      </c>
      <c r="U42" s="100"/>
      <c r="W42" t="s">
        <v>1021</v>
      </c>
      <c r="X42">
        <v>4.8999999999999998E-3</v>
      </c>
      <c r="AB42" t="s">
        <v>25</v>
      </c>
      <c r="AC42" t="s">
        <v>25</v>
      </c>
      <c r="AF42" s="103">
        <v>23</v>
      </c>
      <c r="AG42" s="117" t="s">
        <v>4098</v>
      </c>
      <c r="AH42" s="117">
        <v>-26000000</v>
      </c>
      <c r="AI42" s="103">
        <v>0</v>
      </c>
      <c r="AJ42" s="103">
        <f t="shared" si="4"/>
        <v>81</v>
      </c>
      <c r="AK42" s="117">
        <f t="shared" si="5"/>
        <v>-2106000000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193658305.9256511</v>
      </c>
      <c r="F43" s="3"/>
      <c r="G43" s="11"/>
      <c r="H43" s="11"/>
      <c r="K43" s="181" t="s">
        <v>25</v>
      </c>
      <c r="L43" s="121"/>
      <c r="M43" s="181" t="s">
        <v>4216</v>
      </c>
      <c r="N43" s="117">
        <f>-O43*P43</f>
        <v>-8318548</v>
      </c>
      <c r="O43" s="103">
        <v>28</v>
      </c>
      <c r="P43" s="103">
        <v>297091</v>
      </c>
      <c r="R43" t="s">
        <v>25</v>
      </c>
      <c r="T43" t="s">
        <v>25</v>
      </c>
      <c r="U43" s="100"/>
      <c r="W43" t="s">
        <v>6</v>
      </c>
      <c r="X43">
        <f>X41+X42</f>
        <v>1.12E-2</v>
      </c>
      <c r="AF43" s="103">
        <v>24</v>
      </c>
      <c r="AG43" s="117" t="s">
        <v>4098</v>
      </c>
      <c r="AH43" s="117">
        <v>25000000</v>
      </c>
      <c r="AI43" s="103">
        <v>1</v>
      </c>
      <c r="AJ43" s="103">
        <f t="shared" si="4"/>
        <v>81</v>
      </c>
      <c r="AK43" s="117">
        <f t="shared" si="5"/>
        <v>2025000000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198445607.19961265</v>
      </c>
      <c r="F44" s="3"/>
      <c r="G44" s="11"/>
      <c r="H44" s="11"/>
      <c r="K44" s="181"/>
      <c r="L44" s="121"/>
      <c r="M44" s="181" t="s">
        <v>4217</v>
      </c>
      <c r="N44" s="117">
        <v>-4718958</v>
      </c>
      <c r="O44" s="103"/>
      <c r="P44" s="103"/>
      <c r="Q44" t="s">
        <v>25</v>
      </c>
      <c r="R44" t="s">
        <v>25</v>
      </c>
      <c r="T44" t="s">
        <v>25</v>
      </c>
      <c r="U44" s="100"/>
      <c r="Y44">
        <f>Z37*P31</f>
        <v>5890796.0999999996</v>
      </c>
      <c r="AF44" s="103">
        <v>25</v>
      </c>
      <c r="AG44" s="117" t="s">
        <v>4099</v>
      </c>
      <c r="AH44" s="117">
        <v>110000</v>
      </c>
      <c r="AI44" s="103">
        <v>1</v>
      </c>
      <c r="AJ44" s="103">
        <f t="shared" si="4"/>
        <v>80</v>
      </c>
      <c r="AK44" s="117">
        <f t="shared" si="5"/>
        <v>8800000</v>
      </c>
      <c r="AL44" s="103"/>
    </row>
    <row r="45" spans="1:52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203337795.85060793</v>
      </c>
      <c r="F45" s="3"/>
      <c r="G45" s="11"/>
      <c r="H45" s="11"/>
      <c r="K45" s="181"/>
      <c r="L45" s="121"/>
      <c r="M45" s="181" t="s">
        <v>4233</v>
      </c>
      <c r="N45" s="117">
        <f>-O45*P45</f>
        <v>-4314800</v>
      </c>
      <c r="O45" s="103">
        <v>400</v>
      </c>
      <c r="P45" s="103">
        <f>P32</f>
        <v>10787</v>
      </c>
      <c r="Q45" t="s">
        <v>25</v>
      </c>
      <c r="S45" t="s">
        <v>25</v>
      </c>
      <c r="U45" s="100"/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79</v>
      </c>
      <c r="AK45" s="117">
        <f t="shared" si="5"/>
        <v>30020000</v>
      </c>
      <c r="AL45" s="103"/>
    </row>
    <row r="46" spans="1:52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208337061.03969315</v>
      </c>
      <c r="F46" s="3"/>
      <c r="G46" s="11"/>
      <c r="H46" s="11"/>
      <c r="K46" s="181"/>
      <c r="L46" s="121"/>
      <c r="M46" s="181" t="s">
        <v>4234</v>
      </c>
      <c r="N46" s="117">
        <f>-O46*P46</f>
        <v>-1188364</v>
      </c>
      <c r="O46" s="69">
        <v>4</v>
      </c>
      <c r="P46" s="103">
        <f>P43</f>
        <v>297091</v>
      </c>
      <c r="T46" t="s">
        <v>25</v>
      </c>
      <c r="U46" s="100"/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72</v>
      </c>
      <c r="AK46" s="117">
        <f t="shared" si="5"/>
        <v>32400000</v>
      </c>
      <c r="AL46" s="103"/>
    </row>
    <row r="47" spans="1:52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213445636.6252808</v>
      </c>
      <c r="F47" s="3"/>
      <c r="G47" s="11"/>
      <c r="H47" s="11"/>
      <c r="K47" s="181"/>
      <c r="L47" s="121"/>
      <c r="M47" s="181" t="s">
        <v>4235</v>
      </c>
      <c r="N47" s="117">
        <v>159557</v>
      </c>
      <c r="O47" s="119"/>
      <c r="P47" s="119"/>
      <c r="U47" s="100"/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66</v>
      </c>
      <c r="AK47" s="117">
        <f t="shared" si="5"/>
        <v>184800000</v>
      </c>
      <c r="AL47" s="103"/>
    </row>
    <row r="48" spans="1:52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218665802.06622815</v>
      </c>
      <c r="F48" s="3"/>
      <c r="G48" s="11"/>
      <c r="H48" s="11" t="s">
        <v>611</v>
      </c>
      <c r="K48" s="181"/>
      <c r="L48" s="121"/>
      <c r="M48" s="181"/>
      <c r="N48" s="117"/>
      <c r="O48" s="100"/>
      <c r="P48" s="100"/>
      <c r="Q48" s="116" t="s">
        <v>1138</v>
      </c>
      <c r="R48" s="116"/>
      <c r="U48" s="100"/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65</v>
      </c>
      <c r="AK48" s="117">
        <f t="shared" si="5"/>
        <v>-97500000</v>
      </c>
      <c r="AL48" s="103"/>
    </row>
    <row r="49" spans="1:38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223999883.34307885</v>
      </c>
      <c r="F49" s="3"/>
      <c r="G49" s="11"/>
      <c r="H49" s="11"/>
      <c r="K49" s="181" t="s">
        <v>598</v>
      </c>
      <c r="L49" s="117">
        <f>SUM(L16:L38)</f>
        <v>96954451</v>
      </c>
      <c r="M49" s="181"/>
      <c r="N49" s="117">
        <f>SUM(N16:N48)</f>
        <v>230435496.89999998</v>
      </c>
      <c r="O49" t="s">
        <v>25</v>
      </c>
      <c r="Q49" s="116" t="s">
        <v>267</v>
      </c>
      <c r="R49" s="116" t="s">
        <v>1153</v>
      </c>
      <c r="U49" s="100"/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65</v>
      </c>
      <c r="AK49" s="117">
        <f t="shared" si="5"/>
        <v>198250000</v>
      </c>
      <c r="AL49" s="103"/>
    </row>
    <row r="50" spans="1:38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229450253.89782187</v>
      </c>
      <c r="F50" s="51"/>
      <c r="G50" s="11"/>
      <c r="H50" s="11"/>
      <c r="K50" s="181" t="s">
        <v>599</v>
      </c>
      <c r="L50" s="117">
        <f>L16+L17+L21</f>
        <v>143202</v>
      </c>
      <c r="M50" s="181"/>
      <c r="N50" s="117">
        <f>N16+N17+N23</f>
        <v>38667699</v>
      </c>
      <c r="Q50" s="14">
        <v>110000</v>
      </c>
      <c r="R50" s="116" t="s">
        <v>1154</v>
      </c>
      <c r="U50" s="100"/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62</v>
      </c>
      <c r="AK50" s="117">
        <f t="shared" si="5"/>
        <v>-514575944</v>
      </c>
      <c r="AL50" s="103"/>
    </row>
    <row r="51" spans="1:38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235019335.59253854</v>
      </c>
      <c r="F51" s="3"/>
      <c r="G51" s="11"/>
      <c r="H51" s="11"/>
      <c r="K51" s="56" t="s">
        <v>716</v>
      </c>
      <c r="L51" s="1">
        <f>L49+N7</f>
        <v>166954451</v>
      </c>
      <c r="M51" s="117"/>
      <c r="N51" s="181"/>
      <c r="O51" s="22"/>
      <c r="P51" t="s">
        <v>25</v>
      </c>
      <c r="Q51" s="14">
        <v>-7000000</v>
      </c>
      <c r="R51" s="116" t="s">
        <v>1155</v>
      </c>
      <c r="U51" s="100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60</v>
      </c>
      <c r="AK51" s="117">
        <f t="shared" si="5"/>
        <v>300000000</v>
      </c>
      <c r="AL51" s="103"/>
    </row>
    <row r="52" spans="1:38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240709599.68731713</v>
      </c>
      <c r="F52" s="3"/>
      <c r="G52" s="11"/>
      <c r="H52" s="11"/>
      <c r="M52" t="s">
        <v>4115</v>
      </c>
      <c r="Q52" s="14">
        <f>سارا!C207</f>
        <v>7835443</v>
      </c>
      <c r="R52" s="116" t="s">
        <v>1156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46</v>
      </c>
      <c r="AK52" s="117">
        <f t="shared" si="5"/>
        <v>-4140000</v>
      </c>
      <c r="AL52" s="103"/>
    </row>
    <row r="53" spans="1:38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246523567.83782059</v>
      </c>
      <c r="F53" s="3"/>
      <c r="G53" s="11"/>
      <c r="H53" s="11"/>
      <c r="M53" s="25" t="s">
        <v>4175</v>
      </c>
      <c r="O53" t="s">
        <v>25</v>
      </c>
      <c r="Q53" s="14">
        <f>N19+N20</f>
        <v>5981233</v>
      </c>
      <c r="R53" s="56" t="s">
        <v>3749</v>
      </c>
      <c r="AB53" t="s">
        <v>25</v>
      </c>
      <c r="AF53" s="103">
        <v>34</v>
      </c>
      <c r="AG53" s="117" t="s">
        <v>4100</v>
      </c>
      <c r="AH53" s="117">
        <v>5600000</v>
      </c>
      <c r="AI53" s="103">
        <v>4</v>
      </c>
      <c r="AJ53" s="103">
        <f t="shared" si="4"/>
        <v>45</v>
      </c>
      <c r="AK53" s="117">
        <f t="shared" si="5"/>
        <v>252000000</v>
      </c>
      <c r="AL53" s="103"/>
    </row>
    <row r="54" spans="1:38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252463813.11290169</v>
      </c>
      <c r="F54" s="3"/>
      <c r="G54" s="11"/>
      <c r="H54" s="11"/>
      <c r="M54" s="25" t="s">
        <v>4139</v>
      </c>
      <c r="P54" t="s">
        <v>25</v>
      </c>
      <c r="Q54" s="14">
        <v>1200000</v>
      </c>
      <c r="R54" s="56" t="s">
        <v>1157</v>
      </c>
      <c r="AF54" s="103">
        <v>35</v>
      </c>
      <c r="AG54" s="117" t="s">
        <v>4023</v>
      </c>
      <c r="AH54" s="117">
        <v>750000</v>
      </c>
      <c r="AI54" s="103">
        <v>2</v>
      </c>
      <c r="AJ54" s="103">
        <f t="shared" si="4"/>
        <v>41</v>
      </c>
      <c r="AK54" s="117">
        <f t="shared" si="5"/>
        <v>30750000</v>
      </c>
      <c r="AL54" s="103"/>
    </row>
    <row r="55" spans="1:38" ht="3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258532961.03266767</v>
      </c>
      <c r="F55" s="3"/>
      <c r="G55" s="11"/>
      <c r="H55" s="11"/>
      <c r="M55" s="191" t="s">
        <v>4179</v>
      </c>
      <c r="Q55" s="121">
        <v>118000000</v>
      </c>
      <c r="R55" s="56" t="s">
        <v>4116</v>
      </c>
      <c r="AF55" s="184">
        <v>36</v>
      </c>
      <c r="AG55" s="183" t="s">
        <v>4034</v>
      </c>
      <c r="AH55" s="183">
        <v>-4242000</v>
      </c>
      <c r="AI55" s="184">
        <v>2</v>
      </c>
      <c r="AJ55" s="184">
        <f t="shared" si="4"/>
        <v>39</v>
      </c>
      <c r="AK55" s="183">
        <f t="shared" si="5"/>
        <v>-165438000</v>
      </c>
      <c r="AL55" s="184" t="s">
        <v>4109</v>
      </c>
    </row>
    <row r="56" spans="1:38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264733690.62740406</v>
      </c>
      <c r="F56" s="3"/>
      <c r="G56" s="11"/>
      <c r="H56" s="11"/>
      <c r="K56" s="3"/>
      <c r="L56" s="11" t="s">
        <v>304</v>
      </c>
      <c r="M56" s="126" t="s">
        <v>4180</v>
      </c>
      <c r="N56" s="100"/>
      <c r="Q56" s="121">
        <f>N25</f>
        <v>4000000</v>
      </c>
      <c r="R56" s="56" t="s">
        <v>4249</v>
      </c>
      <c r="AF56" s="103">
        <v>37</v>
      </c>
      <c r="AG56" s="117" t="s">
        <v>4034</v>
      </c>
      <c r="AH56" s="117">
        <v>4100000</v>
      </c>
      <c r="AI56" s="103">
        <v>0</v>
      </c>
      <c r="AJ56" s="103">
        <f t="shared" si="4"/>
        <v>37</v>
      </c>
      <c r="AK56" s="117">
        <f t="shared" si="5"/>
        <v>151700000</v>
      </c>
      <c r="AL56" s="103"/>
    </row>
    <row r="57" spans="1:38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271068735.51777595</v>
      </c>
      <c r="F57" s="3"/>
      <c r="G57" s="11"/>
      <c r="H57" s="11"/>
      <c r="K57" s="1" t="s">
        <v>305</v>
      </c>
      <c r="L57" s="1">
        <v>70000</v>
      </c>
      <c r="M57" s="126" t="s">
        <v>4183</v>
      </c>
      <c r="N57" s="100" t="s">
        <v>25</v>
      </c>
      <c r="Q57" s="121">
        <v>-44103000</v>
      </c>
      <c r="R57" s="56" t="s">
        <v>4248</v>
      </c>
      <c r="AF57" s="103">
        <v>38</v>
      </c>
      <c r="AG57" s="117" t="s">
        <v>4040</v>
      </c>
      <c r="AH57" s="117">
        <v>4100000</v>
      </c>
      <c r="AI57" s="103">
        <v>1</v>
      </c>
      <c r="AJ57" s="103">
        <f t="shared" si="4"/>
        <v>37</v>
      </c>
      <c r="AK57" s="117">
        <f t="shared" si="5"/>
        <v>151700000</v>
      </c>
      <c r="AL57" s="103"/>
    </row>
    <row r="58" spans="1:38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277540885.01673353</v>
      </c>
      <c r="F58" s="3"/>
      <c r="G58" s="11"/>
      <c r="H58" s="11"/>
      <c r="K58" s="1" t="s">
        <v>321</v>
      </c>
      <c r="L58" s="1">
        <v>100000</v>
      </c>
      <c r="M58" s="126" t="s">
        <v>4241</v>
      </c>
      <c r="Q58" s="14">
        <v>2500000</v>
      </c>
      <c r="R58" s="56" t="s">
        <v>1149</v>
      </c>
      <c r="AF58" s="103">
        <v>39</v>
      </c>
      <c r="AG58" s="117" t="s">
        <v>4050</v>
      </c>
      <c r="AH58" s="117">
        <v>790000</v>
      </c>
      <c r="AI58" s="103">
        <v>15</v>
      </c>
      <c r="AJ58" s="103">
        <f t="shared" si="4"/>
        <v>36</v>
      </c>
      <c r="AK58" s="117">
        <f t="shared" si="5"/>
        <v>28440000</v>
      </c>
      <c r="AL58" s="103"/>
    </row>
    <row r="59" spans="1:38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284152985.25355631</v>
      </c>
      <c r="F59" s="3"/>
      <c r="G59" s="11"/>
      <c r="H59" s="11"/>
      <c r="K59" s="1" t="s">
        <v>306</v>
      </c>
      <c r="L59" s="1">
        <v>80000</v>
      </c>
      <c r="M59" s="126" t="s">
        <v>4261</v>
      </c>
      <c r="Q59" s="121">
        <v>1200000</v>
      </c>
      <c r="R59" s="56" t="s">
        <v>3939</v>
      </c>
      <c r="AF59" s="184">
        <v>40</v>
      </c>
      <c r="AG59" s="183" t="s">
        <v>4081</v>
      </c>
      <c r="AH59" s="183">
        <v>-3865000</v>
      </c>
      <c r="AI59" s="184">
        <v>6</v>
      </c>
      <c r="AJ59" s="184">
        <f t="shared" si="4"/>
        <v>21</v>
      </c>
      <c r="AK59" s="186">
        <f t="shared" si="5"/>
        <v>-81165000</v>
      </c>
      <c r="AL59" s="184" t="s">
        <v>4110</v>
      </c>
    </row>
    <row r="60" spans="1:38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290907940.32048041</v>
      </c>
      <c r="F60" s="3"/>
      <c r="G60" s="11"/>
      <c r="H60" s="11"/>
      <c r="K60" s="31" t="s">
        <v>307</v>
      </c>
      <c r="L60" s="1">
        <v>150000</v>
      </c>
      <c r="M60" s="100"/>
      <c r="Q60" s="14">
        <f>N40</f>
        <v>23571459</v>
      </c>
      <c r="R60" s="56" t="s">
        <v>1138</v>
      </c>
      <c r="AF60" s="20">
        <v>41</v>
      </c>
      <c r="AG60" s="121" t="s">
        <v>4124</v>
      </c>
      <c r="AH60" s="121">
        <v>18800000</v>
      </c>
      <c r="AI60" s="20">
        <v>3</v>
      </c>
      <c r="AJ60" s="103">
        <f t="shared" si="4"/>
        <v>15</v>
      </c>
      <c r="AK60" s="117">
        <f t="shared" si="5"/>
        <v>282000000</v>
      </c>
      <c r="AL60" s="20"/>
    </row>
    <row r="61" spans="1:38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297808713.44236153</v>
      </c>
      <c r="F61" s="3"/>
      <c r="G61" s="11"/>
      <c r="H61" s="11"/>
      <c r="K61" s="31" t="s">
        <v>308</v>
      </c>
      <c r="L61" s="1">
        <v>300000</v>
      </c>
      <c r="M61" s="100"/>
      <c r="Q61" s="121"/>
      <c r="R61" s="56"/>
      <c r="AF61" s="20">
        <v>42</v>
      </c>
      <c r="AG61" s="121" t="s">
        <v>4143</v>
      </c>
      <c r="AH61" s="121">
        <v>500000</v>
      </c>
      <c r="AI61" s="20">
        <v>1</v>
      </c>
      <c r="AJ61" s="103">
        <f t="shared" si="4"/>
        <v>12</v>
      </c>
      <c r="AK61" s="117">
        <f t="shared" si="5"/>
        <v>6000000</v>
      </c>
      <c r="AL61" s="20"/>
    </row>
    <row r="62" spans="1:38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304858328.16983503</v>
      </c>
      <c r="F62" s="3"/>
      <c r="G62" s="11"/>
      <c r="H62" s="11"/>
      <c r="K62" s="31" t="s">
        <v>309</v>
      </c>
      <c r="L62" s="1">
        <v>100000</v>
      </c>
      <c r="M62" s="100"/>
      <c r="Q62" s="121"/>
      <c r="R62" s="56"/>
      <c r="AF62" s="20">
        <v>43</v>
      </c>
      <c r="AG62" s="121" t="s">
        <v>4147</v>
      </c>
      <c r="AH62" s="121">
        <v>200000</v>
      </c>
      <c r="AI62" s="20">
        <v>3</v>
      </c>
      <c r="AJ62" s="103">
        <f>AJ63+AI62</f>
        <v>11</v>
      </c>
      <c r="AK62" s="117">
        <f t="shared" si="5"/>
        <v>2200000</v>
      </c>
      <c r="AL62" s="20"/>
    </row>
    <row r="63" spans="1:38">
      <c r="E63" s="26"/>
      <c r="K63" s="31" t="s">
        <v>310</v>
      </c>
      <c r="L63" s="1">
        <v>200000</v>
      </c>
      <c r="M63" s="100"/>
      <c r="Q63" s="121"/>
      <c r="R63" s="56"/>
      <c r="AF63" s="20">
        <v>44</v>
      </c>
      <c r="AG63" s="121" t="s">
        <v>4154</v>
      </c>
      <c r="AH63" s="121">
        <v>1000000</v>
      </c>
      <c r="AI63" s="20">
        <v>3</v>
      </c>
      <c r="AJ63" s="103">
        <f t="shared" si="4"/>
        <v>8</v>
      </c>
      <c r="AK63" s="117">
        <f t="shared" si="5"/>
        <v>8000000</v>
      </c>
      <c r="AL63" s="20"/>
    </row>
    <row r="64" spans="1:38">
      <c r="E64" s="26"/>
      <c r="K64" s="18" t="s">
        <v>311</v>
      </c>
      <c r="L64" s="18">
        <v>300000</v>
      </c>
      <c r="M64" s="100"/>
      <c r="Q64" s="121"/>
      <c r="R64" s="56"/>
      <c r="AF64" s="20">
        <v>45</v>
      </c>
      <c r="AG64" s="121" t="s">
        <v>4170</v>
      </c>
      <c r="AH64" s="121">
        <v>1300000</v>
      </c>
      <c r="AI64" s="20">
        <v>0</v>
      </c>
      <c r="AJ64" s="103">
        <f>AJ65+AI64</f>
        <v>5</v>
      </c>
      <c r="AK64" s="117">
        <f t="shared" si="5"/>
        <v>6500000</v>
      </c>
      <c r="AL64" s="20"/>
    </row>
    <row r="65" spans="1:38">
      <c r="K65" s="32" t="s">
        <v>312</v>
      </c>
      <c r="L65" s="1">
        <v>200000</v>
      </c>
      <c r="M65" s="100"/>
      <c r="N65" s="100"/>
      <c r="O65" s="100"/>
      <c r="Q65" s="121"/>
      <c r="R65" s="56"/>
      <c r="AF65" s="20">
        <v>45</v>
      </c>
      <c r="AG65" s="121" t="s">
        <v>4170</v>
      </c>
      <c r="AH65" s="121">
        <v>995000</v>
      </c>
      <c r="AI65" s="20">
        <v>2</v>
      </c>
      <c r="AJ65" s="103">
        <f t="shared" ref="AJ65:AJ73" si="13">AJ66+AI65</f>
        <v>5</v>
      </c>
      <c r="AK65" s="117">
        <f t="shared" si="5"/>
        <v>4975000</v>
      </c>
      <c r="AL65" s="20"/>
    </row>
    <row r="66" spans="1:38">
      <c r="K66" s="32" t="s">
        <v>313</v>
      </c>
      <c r="L66" s="1">
        <v>20000</v>
      </c>
      <c r="M66" s="100"/>
      <c r="N66" s="100"/>
      <c r="O66" s="100"/>
      <c r="Q66" s="117">
        <f>SUM(Q50:Q64)</f>
        <v>113295135</v>
      </c>
      <c r="R66" s="56" t="s">
        <v>1159</v>
      </c>
      <c r="AF66" s="20">
        <v>46</v>
      </c>
      <c r="AG66" s="121" t="s">
        <v>4204</v>
      </c>
      <c r="AH66" s="121">
        <v>13000000</v>
      </c>
      <c r="AI66" s="20">
        <v>2</v>
      </c>
      <c r="AJ66" s="103">
        <f t="shared" si="13"/>
        <v>3</v>
      </c>
      <c r="AK66" s="117">
        <f t="shared" si="5"/>
        <v>39000000</v>
      </c>
      <c r="AL66" s="20"/>
    </row>
    <row r="67" spans="1:38">
      <c r="A67" t="s">
        <v>25</v>
      </c>
      <c r="F67" t="s">
        <v>310</v>
      </c>
      <c r="G67" t="s">
        <v>4162</v>
      </c>
      <c r="K67" s="32" t="s">
        <v>315</v>
      </c>
      <c r="L67" s="1">
        <v>50000</v>
      </c>
      <c r="M67" s="100"/>
      <c r="N67" s="100"/>
      <c r="O67" s="100"/>
      <c r="Q67" s="121"/>
      <c r="R67" s="56"/>
      <c r="AF67" s="20">
        <v>47</v>
      </c>
      <c r="AG67" s="121" t="s">
        <v>4229</v>
      </c>
      <c r="AH67" s="121">
        <v>-3100000</v>
      </c>
      <c r="AI67" s="20">
        <v>1</v>
      </c>
      <c r="AJ67" s="103">
        <f t="shared" si="13"/>
        <v>1</v>
      </c>
      <c r="AK67" s="117">
        <f t="shared" si="5"/>
        <v>-3100000</v>
      </c>
      <c r="AL67" s="20"/>
    </row>
    <row r="68" spans="1:38">
      <c r="F68" t="s">
        <v>4166</v>
      </c>
      <c r="G68" t="s">
        <v>4161</v>
      </c>
      <c r="K68" s="32" t="s">
        <v>316</v>
      </c>
      <c r="L68" s="1">
        <v>90000</v>
      </c>
      <c r="M68" s="100"/>
      <c r="N68" s="100"/>
      <c r="O68" s="100"/>
      <c r="Q68" s="121"/>
      <c r="R68" s="56"/>
      <c r="AF68" s="20"/>
      <c r="AG68" s="121"/>
      <c r="AH68" s="121"/>
      <c r="AI68" s="20">
        <v>0</v>
      </c>
      <c r="AJ68" s="103">
        <f t="shared" si="13"/>
        <v>0</v>
      </c>
      <c r="AK68" s="117">
        <f t="shared" si="5"/>
        <v>0</v>
      </c>
      <c r="AL68" s="20"/>
    </row>
    <row r="69" spans="1:38">
      <c r="F69" t="s">
        <v>4167</v>
      </c>
      <c r="G69" t="s">
        <v>4163</v>
      </c>
      <c r="K69" s="32" t="s">
        <v>317</v>
      </c>
      <c r="L69" s="1">
        <v>50000</v>
      </c>
      <c r="M69" s="100"/>
      <c r="N69" s="100"/>
      <c r="O69" s="100"/>
      <c r="W69" s="119"/>
      <c r="AF69" s="20"/>
      <c r="AG69" s="121"/>
      <c r="AH69" s="121"/>
      <c r="AI69" s="20">
        <v>0</v>
      </c>
      <c r="AJ69" s="103">
        <f t="shared" si="13"/>
        <v>0</v>
      </c>
      <c r="AK69" s="117">
        <f t="shared" si="5"/>
        <v>0</v>
      </c>
      <c r="AL69" s="20"/>
    </row>
    <row r="70" spans="1:38">
      <c r="G70" t="s">
        <v>4164</v>
      </c>
      <c r="K70" s="32" t="s">
        <v>327</v>
      </c>
      <c r="L70" s="1">
        <v>150000</v>
      </c>
      <c r="M70" s="100"/>
      <c r="N70" s="100"/>
      <c r="O70" s="100"/>
      <c r="W70" s="172"/>
      <c r="AF70" s="20"/>
      <c r="AG70" s="121"/>
      <c r="AH70" s="121"/>
      <c r="AI70" s="20">
        <v>0</v>
      </c>
      <c r="AJ70" s="103">
        <f t="shared" si="13"/>
        <v>0</v>
      </c>
      <c r="AK70" s="121"/>
      <c r="AL70" s="20"/>
    </row>
    <row r="71" spans="1:38">
      <c r="G71" t="s">
        <v>4165</v>
      </c>
      <c r="K71" s="32" t="s">
        <v>318</v>
      </c>
      <c r="L71" s="1">
        <v>15000</v>
      </c>
      <c r="N71" s="100"/>
      <c r="W71" s="119"/>
      <c r="X71" s="119"/>
      <c r="Y71" s="119"/>
      <c r="Z71" s="119"/>
      <c r="AA71" s="119"/>
      <c r="AB71" s="119"/>
      <c r="AC71" s="119"/>
      <c r="AD71" s="119"/>
      <c r="AF71" s="20"/>
      <c r="AG71" s="121"/>
      <c r="AH71" s="121"/>
      <c r="AI71" s="20"/>
      <c r="AJ71" s="103">
        <f t="shared" si="13"/>
        <v>0</v>
      </c>
      <c r="AK71" s="121"/>
      <c r="AL71" s="20"/>
    </row>
    <row r="72" spans="1:38">
      <c r="G72" t="s">
        <v>4169</v>
      </c>
      <c r="K72" s="32" t="s">
        <v>319</v>
      </c>
      <c r="L72" s="1">
        <v>20000</v>
      </c>
      <c r="N72" s="100"/>
      <c r="S72" s="119"/>
      <c r="T72" s="119"/>
      <c r="W72" s="119"/>
      <c r="X72" s="132"/>
      <c r="Y72" s="119"/>
      <c r="Z72" s="119"/>
      <c r="AA72" s="119"/>
      <c r="AB72" s="132"/>
      <c r="AC72" s="119"/>
      <c r="AD72" s="119"/>
      <c r="AF72" s="103"/>
      <c r="AG72" s="117"/>
      <c r="AH72" s="117"/>
      <c r="AI72" s="103"/>
      <c r="AJ72" s="103">
        <f t="shared" si="13"/>
        <v>0</v>
      </c>
      <c r="AK72" s="103"/>
      <c r="AL72" s="103"/>
    </row>
    <row r="73" spans="1:38">
      <c r="G73" t="s">
        <v>4168</v>
      </c>
      <c r="K73" s="32" t="s">
        <v>320</v>
      </c>
      <c r="L73" s="1">
        <v>40000</v>
      </c>
      <c r="N73" s="100"/>
      <c r="S73" s="119"/>
      <c r="T73" s="119"/>
      <c r="W73" s="119"/>
      <c r="X73" s="132"/>
      <c r="Y73" s="119"/>
      <c r="Z73" s="119"/>
      <c r="AA73" s="119"/>
      <c r="AB73" s="132"/>
      <c r="AC73" s="119"/>
      <c r="AD73" s="119"/>
      <c r="AF73" s="103"/>
      <c r="AG73" s="117"/>
      <c r="AH73" s="117"/>
      <c r="AI73" s="103"/>
      <c r="AJ73" s="103">
        <f t="shared" si="13"/>
        <v>0</v>
      </c>
      <c r="AK73" s="103"/>
      <c r="AL73" s="103"/>
    </row>
    <row r="74" spans="1:38">
      <c r="K74" s="32" t="s">
        <v>322</v>
      </c>
      <c r="L74" s="1">
        <v>150000</v>
      </c>
      <c r="N74" s="100"/>
      <c r="Q74" s="119"/>
      <c r="R74" s="119"/>
      <c r="S74" s="119"/>
      <c r="T74" s="119"/>
      <c r="W74" s="119"/>
      <c r="X74" s="132"/>
      <c r="Y74" s="119"/>
      <c r="Z74" s="119"/>
      <c r="AA74" s="119"/>
      <c r="AB74" s="132"/>
      <c r="AC74" s="119"/>
      <c r="AD74" s="119"/>
      <c r="AF74" s="103"/>
      <c r="AG74" s="103"/>
      <c r="AH74" s="99">
        <f>SUM(AH20:AH72)</f>
        <v>86801899</v>
      </c>
      <c r="AI74" s="103"/>
      <c r="AJ74" s="103"/>
      <c r="AK74" s="99">
        <f>SUM(AK20:AK70)</f>
        <v>5846532276</v>
      </c>
      <c r="AL74" s="99">
        <f>AK74*AL77/31</f>
        <v>3771956.3070967742</v>
      </c>
    </row>
    <row r="75" spans="1:38">
      <c r="K75" s="32" t="s">
        <v>324</v>
      </c>
      <c r="L75" s="1">
        <v>75000</v>
      </c>
      <c r="Q75" s="126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4106</v>
      </c>
      <c r="AI75" s="103"/>
      <c r="AJ75" s="103"/>
      <c r="AK75" s="103" t="s">
        <v>284</v>
      </c>
      <c r="AL75" s="103" t="s">
        <v>917</v>
      </c>
    </row>
    <row r="76" spans="1:38">
      <c r="K76" s="32" t="s">
        <v>314</v>
      </c>
      <c r="L76" s="1">
        <v>140000</v>
      </c>
      <c r="Q76" s="126"/>
      <c r="R76" s="132"/>
      <c r="S76" s="126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>
      <c r="K77" s="2" t="s">
        <v>478</v>
      </c>
      <c r="L77" s="3">
        <v>1083333</v>
      </c>
      <c r="P77" s="119"/>
      <c r="Q77" s="126"/>
      <c r="R77" s="119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4107</v>
      </c>
      <c r="AL77" s="103">
        <v>0.02</v>
      </c>
    </row>
    <row r="78" spans="1:38">
      <c r="K78" s="2"/>
      <c r="L78" s="3"/>
      <c r="P78" s="132"/>
      <c r="Q78" s="126"/>
      <c r="W78" s="119"/>
      <c r="X78" s="119"/>
      <c r="Y78" s="119"/>
      <c r="Z78" s="119"/>
      <c r="AA78" s="119"/>
      <c r="AB78" s="119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>
      <c r="K79" s="2"/>
      <c r="L79" s="3"/>
      <c r="P79" s="132"/>
      <c r="W79" s="119"/>
      <c r="X79" s="119"/>
      <c r="Y79" s="119"/>
      <c r="Z79" s="119"/>
      <c r="AA79" s="119"/>
      <c r="AB79" s="119"/>
      <c r="AC79" s="119"/>
      <c r="AD79" s="119"/>
      <c r="AF79" s="103"/>
      <c r="AG79" s="103" t="s">
        <v>4108</v>
      </c>
      <c r="AH79" s="99">
        <f>AH74+AL74</f>
        <v>90573855.307096779</v>
      </c>
      <c r="AI79" s="103"/>
      <c r="AJ79" s="103"/>
      <c r="AK79" s="103"/>
      <c r="AL79" s="103"/>
    </row>
    <row r="80" spans="1:38">
      <c r="K80" s="2" t="s">
        <v>6</v>
      </c>
      <c r="L80" s="3">
        <f>SUM(L57:L78)</f>
        <v>3383333</v>
      </c>
      <c r="P80" s="119"/>
      <c r="W80" s="119"/>
      <c r="X80" s="119"/>
      <c r="Y80" s="119"/>
      <c r="Z80" s="119"/>
      <c r="AA80" s="119"/>
      <c r="AB80" s="119"/>
      <c r="AC80" s="119"/>
      <c r="AD80" s="119"/>
      <c r="AG80" t="s">
        <v>4111</v>
      </c>
      <c r="AH80" s="118">
        <f>Z41</f>
        <v>216045090.90000001</v>
      </c>
    </row>
    <row r="81" spans="11:50">
      <c r="K81" s="2" t="s">
        <v>328</v>
      </c>
      <c r="L81" s="3">
        <f>L80/30</f>
        <v>112777.76666666666</v>
      </c>
      <c r="Q81" s="22"/>
      <c r="X81" s="119"/>
      <c r="Y81" s="119"/>
      <c r="Z81" s="119"/>
      <c r="AA81" s="119"/>
      <c r="AB81" s="132"/>
      <c r="AC81" s="119"/>
      <c r="AD81" s="119"/>
      <c r="AG81" t="s">
        <v>4112</v>
      </c>
      <c r="AH81" s="118">
        <f>AH80-AH79</f>
        <v>125471235.59290323</v>
      </c>
    </row>
    <row r="82" spans="11:50">
      <c r="O82" s="119"/>
      <c r="X82" s="119"/>
      <c r="Y82" s="119"/>
      <c r="Z82" s="119"/>
      <c r="AA82" s="119"/>
      <c r="AB82" s="119"/>
      <c r="AC82" s="119"/>
      <c r="AD82" s="119"/>
    </row>
    <row r="83" spans="11:50">
      <c r="O83" s="119"/>
      <c r="AU83" t="s">
        <v>25</v>
      </c>
    </row>
    <row r="84" spans="11:50">
      <c r="AR84" s="100" t="s">
        <v>25</v>
      </c>
    </row>
    <row r="85" spans="11:50">
      <c r="AX85" t="s">
        <v>25</v>
      </c>
    </row>
    <row r="86" spans="11:50">
      <c r="AT86" t="s">
        <v>25</v>
      </c>
    </row>
    <row r="87" spans="11:50">
      <c r="K87" s="48" t="s">
        <v>789</v>
      </c>
      <c r="L87" s="48" t="s">
        <v>476</v>
      </c>
      <c r="AS87" s="100" t="s">
        <v>25</v>
      </c>
    </row>
    <row r="88" spans="11:50">
      <c r="K88" s="47">
        <v>700000</v>
      </c>
      <c r="L88" s="48" t="s">
        <v>1041</v>
      </c>
      <c r="AS88" s="100" t="s">
        <v>25</v>
      </c>
    </row>
    <row r="89" spans="11:50">
      <c r="K89" s="47">
        <v>500000</v>
      </c>
      <c r="L89" s="48" t="s">
        <v>479</v>
      </c>
      <c r="AO89" t="s">
        <v>4185</v>
      </c>
    </row>
    <row r="90" spans="11:50">
      <c r="K90" s="47">
        <v>180000</v>
      </c>
      <c r="L90" s="48" t="s">
        <v>558</v>
      </c>
      <c r="AO90" t="s">
        <v>4186</v>
      </c>
      <c r="AP90">
        <v>2.6199999999999999E-3</v>
      </c>
      <c r="AT90" t="s">
        <v>25</v>
      </c>
    </row>
    <row r="91" spans="11:50">
      <c r="K91" s="47">
        <v>0</v>
      </c>
      <c r="L91" s="48" t="s">
        <v>785</v>
      </c>
      <c r="AO91" t="s">
        <v>4187</v>
      </c>
      <c r="AP91">
        <v>2.7799999999999999E-3</v>
      </c>
    </row>
    <row r="92" spans="11:50">
      <c r="K92" s="47">
        <v>0</v>
      </c>
      <c r="L92" s="48" t="s">
        <v>786</v>
      </c>
      <c r="AO92" t="s">
        <v>4188</v>
      </c>
      <c r="AP92" t="s">
        <v>4189</v>
      </c>
    </row>
    <row r="93" spans="11:50">
      <c r="K93" s="47">
        <v>500000</v>
      </c>
      <c r="L93" s="48" t="s">
        <v>787</v>
      </c>
    </row>
    <row r="94" spans="11:50">
      <c r="K94" s="47">
        <v>75000</v>
      </c>
      <c r="L94" s="48" t="s">
        <v>788</v>
      </c>
    </row>
    <row r="95" spans="11:50">
      <c r="K95" s="47">
        <v>0</v>
      </c>
      <c r="L95" s="48" t="s">
        <v>790</v>
      </c>
    </row>
    <row r="96" spans="11:50">
      <c r="K96" s="47">
        <v>500000</v>
      </c>
      <c r="L96" s="48" t="s">
        <v>564</v>
      </c>
    </row>
    <row r="97" spans="8:43">
      <c r="K97" s="47">
        <v>50000</v>
      </c>
      <c r="L97" s="48" t="s">
        <v>793</v>
      </c>
      <c r="AO97" t="s">
        <v>4199</v>
      </c>
      <c r="AP97" t="s">
        <v>4200</v>
      </c>
      <c r="AQ97" t="s">
        <v>4201</v>
      </c>
    </row>
    <row r="98" spans="8:43">
      <c r="H98" s="100"/>
      <c r="K98" s="47">
        <v>140000</v>
      </c>
      <c r="L98" s="48" t="s">
        <v>314</v>
      </c>
      <c r="AO98" t="s">
        <v>4202</v>
      </c>
      <c r="AP98" t="s">
        <v>4203</v>
      </c>
      <c r="AQ98" t="s">
        <v>4201</v>
      </c>
    </row>
    <row r="99" spans="8:43">
      <c r="K99" s="47"/>
      <c r="L99" s="48" t="s">
        <v>25</v>
      </c>
    </row>
    <row r="100" spans="8:43">
      <c r="K100" s="47">
        <f>SUM(K88:K99)</f>
        <v>2645000</v>
      </c>
      <c r="L100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topLeftCell="G16" workbookViewId="0">
      <selection activeCell="V45" sqref="V45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4" width="5.85546875" bestFit="1" customWidth="1"/>
    <col min="5" max="5" width="13.7109375" bestFit="1" customWidth="1"/>
    <col min="6" max="6" width="14.5703125" bestFit="1" customWidth="1"/>
    <col min="7" max="7" width="14.140625" bestFit="1" customWidth="1"/>
    <col min="8" max="8" width="7.7109375" bestFit="1" customWidth="1"/>
    <col min="9" max="9" width="12.42578125" style="100" bestFit="1" customWidth="1"/>
    <col min="10" max="10" width="15.140625" bestFit="1" customWidth="1"/>
    <col min="11" max="11" width="12" bestFit="1" customWidth="1"/>
    <col min="12" max="12" width="10.42578125" bestFit="1" customWidth="1"/>
    <col min="14" max="14" width="5" bestFit="1" customWidth="1"/>
    <col min="15" max="15" width="11.85546875" bestFit="1" customWidth="1"/>
    <col min="16" max="17" width="16.140625" bestFit="1" customWidth="1"/>
    <col min="18" max="18" width="15.140625" bestFit="1" customWidth="1"/>
    <col min="19" max="19" width="14.140625" bestFit="1" customWidth="1"/>
    <col min="20" max="20" width="13.5703125" bestFit="1" customWidth="1"/>
    <col min="21" max="21" width="3.85546875" bestFit="1" customWidth="1"/>
    <col min="22" max="22" width="18.85546875" bestFit="1" customWidth="1"/>
    <col min="23" max="23" width="17.85546875" bestFit="1" customWidth="1"/>
    <col min="24" max="24" width="16.140625" bestFit="1" customWidth="1"/>
    <col min="25" max="25" width="31.140625" bestFit="1" customWidth="1"/>
    <col min="26" max="26" width="34" bestFit="1" customWidth="1"/>
    <col min="30" max="30" width="15.140625" bestFit="1" customWidth="1"/>
    <col min="31" max="31" width="14.5703125" bestFit="1" customWidth="1"/>
    <col min="32" max="32" width="33.140625" bestFit="1" customWidth="1"/>
    <col min="33" max="33" width="63.42578125" customWidth="1"/>
  </cols>
  <sheetData>
    <row r="1" spans="1:33" ht="82.5">
      <c r="A1" s="103" t="s">
        <v>3673</v>
      </c>
      <c r="B1" s="103" t="s">
        <v>180</v>
      </c>
      <c r="C1" s="103" t="s">
        <v>4192</v>
      </c>
      <c r="D1" s="103" t="s">
        <v>939</v>
      </c>
      <c r="E1" s="103" t="s">
        <v>4191</v>
      </c>
      <c r="F1" s="103" t="s">
        <v>1136</v>
      </c>
      <c r="G1" s="103" t="s">
        <v>1138</v>
      </c>
      <c r="H1" s="103" t="s">
        <v>183</v>
      </c>
      <c r="I1" s="103" t="s">
        <v>4246</v>
      </c>
      <c r="J1" s="103" t="s">
        <v>4247</v>
      </c>
      <c r="K1" s="103" t="s">
        <v>190</v>
      </c>
      <c r="L1" s="100"/>
      <c r="M1" s="100"/>
      <c r="N1" s="103" t="s">
        <v>3673</v>
      </c>
      <c r="O1" s="103" t="s">
        <v>180</v>
      </c>
      <c r="P1" s="103" t="s">
        <v>4218</v>
      </c>
      <c r="Q1" s="103" t="s">
        <v>5</v>
      </c>
      <c r="R1" s="103" t="s">
        <v>4219</v>
      </c>
      <c r="S1" s="103" t="s">
        <v>4237</v>
      </c>
      <c r="T1" s="103" t="s">
        <v>4105</v>
      </c>
      <c r="U1" s="103" t="s">
        <v>4097</v>
      </c>
      <c r="V1" s="103" t="s">
        <v>37</v>
      </c>
      <c r="W1" s="103" t="s">
        <v>4222</v>
      </c>
      <c r="X1" s="103" t="s">
        <v>4238</v>
      </c>
      <c r="Y1" s="103" t="s">
        <v>8</v>
      </c>
      <c r="Z1" s="103"/>
      <c r="AE1" t="s">
        <v>4145</v>
      </c>
      <c r="AF1" s="194" t="s">
        <v>4272</v>
      </c>
      <c r="AG1" s="193" t="s">
        <v>4255</v>
      </c>
    </row>
    <row r="2" spans="1:33">
      <c r="A2" s="103">
        <v>1</v>
      </c>
      <c r="B2" s="103" t="s">
        <v>4182</v>
      </c>
      <c r="C2" s="103" t="s">
        <v>4193</v>
      </c>
      <c r="D2" s="103">
        <v>1</v>
      </c>
      <c r="E2" s="117">
        <v>944261</v>
      </c>
      <c r="F2" s="117">
        <v>1550000</v>
      </c>
      <c r="G2" s="117">
        <v>297091</v>
      </c>
      <c r="H2" s="103">
        <v>127</v>
      </c>
      <c r="I2" s="99">
        <f>F2-E2</f>
        <v>605739</v>
      </c>
      <c r="J2" s="117">
        <f>I2*D2</f>
        <v>605739</v>
      </c>
      <c r="K2" s="103">
        <f>I2/(E2+G2)</f>
        <v>0.48796715194400941</v>
      </c>
      <c r="L2" s="100"/>
      <c r="M2" s="100"/>
      <c r="N2" s="103">
        <v>1</v>
      </c>
      <c r="O2" s="126" t="s">
        <v>4182</v>
      </c>
      <c r="P2" s="117">
        <v>1174261</v>
      </c>
      <c r="Q2" s="117">
        <v>1174261</v>
      </c>
      <c r="R2" s="117">
        <v>0</v>
      </c>
      <c r="S2" s="117">
        <f t="shared" ref="S2:S18" si="0">P2-Q2-R2</f>
        <v>0</v>
      </c>
      <c r="T2" s="103">
        <v>1</v>
      </c>
      <c r="U2" s="103">
        <f t="shared" ref="U2:U17" si="1">U3+T2</f>
        <v>8</v>
      </c>
      <c r="V2" s="117">
        <f t="shared" ref="V2:V17" si="2">Q2*U2</f>
        <v>9394088</v>
      </c>
      <c r="W2" s="117">
        <f t="shared" ref="W2:W14" si="3">R2*U2</f>
        <v>0</v>
      </c>
      <c r="X2" s="117">
        <f t="shared" ref="X2:X17" si="4">S2*U2</f>
        <v>0</v>
      </c>
      <c r="Y2" s="103" t="s">
        <v>4277</v>
      </c>
      <c r="Z2" s="103"/>
    </row>
    <row r="3" spans="1:33" ht="54">
      <c r="A3" s="103">
        <v>2</v>
      </c>
      <c r="B3" s="103" t="s">
        <v>4204</v>
      </c>
      <c r="C3" s="103" t="s">
        <v>4193</v>
      </c>
      <c r="D3" s="103">
        <v>13</v>
      </c>
      <c r="E3" s="117">
        <v>963887</v>
      </c>
      <c r="F3" s="117">
        <v>1560000</v>
      </c>
      <c r="G3" s="117">
        <f>G2</f>
        <v>297091</v>
      </c>
      <c r="H3" s="103">
        <v>126</v>
      </c>
      <c r="I3" s="99">
        <f t="shared" ref="I3:I9" si="5">F3-E3</f>
        <v>596113</v>
      </c>
      <c r="J3" s="117">
        <f t="shared" ref="J3:J5" si="6">I3*D3</f>
        <v>7749469</v>
      </c>
      <c r="K3" s="103">
        <f t="shared" ref="K3" si="7">I3/(E3+G3)</f>
        <v>0.47273862034071967</v>
      </c>
      <c r="L3" s="100"/>
      <c r="M3" s="100"/>
      <c r="N3" s="103">
        <v>2</v>
      </c>
      <c r="O3" s="103" t="s">
        <v>4204</v>
      </c>
      <c r="P3" s="117">
        <v>15520539</v>
      </c>
      <c r="Q3" s="117">
        <v>0</v>
      </c>
      <c r="R3" s="117">
        <f>15520539</f>
        <v>15520539</v>
      </c>
      <c r="S3" s="117">
        <f t="shared" si="0"/>
        <v>0</v>
      </c>
      <c r="T3" s="103">
        <v>1</v>
      </c>
      <c r="U3" s="103">
        <f t="shared" si="1"/>
        <v>7</v>
      </c>
      <c r="V3" s="117">
        <f t="shared" si="2"/>
        <v>0</v>
      </c>
      <c r="W3" s="117">
        <f t="shared" si="3"/>
        <v>108643773</v>
      </c>
      <c r="X3" s="117">
        <f t="shared" si="4"/>
        <v>0</v>
      </c>
      <c r="Y3" s="103" t="s">
        <v>4278</v>
      </c>
      <c r="Z3" s="103"/>
      <c r="AG3" s="195" t="s">
        <v>4259</v>
      </c>
    </row>
    <row r="4" spans="1:33">
      <c r="A4" s="103">
        <v>3</v>
      </c>
      <c r="B4" s="103" t="s">
        <v>4230</v>
      </c>
      <c r="C4" s="103" t="s">
        <v>4193</v>
      </c>
      <c r="D4" s="103">
        <v>74</v>
      </c>
      <c r="E4" s="117">
        <v>992797</v>
      </c>
      <c r="F4" s="117">
        <v>1602000</v>
      </c>
      <c r="G4" s="117">
        <f>G3</f>
        <v>297091</v>
      </c>
      <c r="H4" s="103">
        <v>125</v>
      </c>
      <c r="I4" s="99">
        <f t="shared" si="5"/>
        <v>609203</v>
      </c>
      <c r="J4" s="117">
        <f t="shared" si="6"/>
        <v>45081022</v>
      </c>
      <c r="K4" s="103">
        <f>I4/(E4+G4)</f>
        <v>0.47229139274107518</v>
      </c>
      <c r="L4" s="100"/>
      <c r="M4" s="100"/>
      <c r="N4" s="103">
        <v>3</v>
      </c>
      <c r="O4" s="103" t="s">
        <v>4230</v>
      </c>
      <c r="P4" s="117">
        <v>4891188</v>
      </c>
      <c r="Q4" s="117">
        <v>0</v>
      </c>
      <c r="R4" s="117">
        <v>0</v>
      </c>
      <c r="S4" s="117">
        <f t="shared" si="0"/>
        <v>4891188</v>
      </c>
      <c r="T4" s="103">
        <v>0</v>
      </c>
      <c r="U4" s="103">
        <f t="shared" si="1"/>
        <v>6</v>
      </c>
      <c r="V4" s="117">
        <f t="shared" si="2"/>
        <v>0</v>
      </c>
      <c r="W4" s="117">
        <f t="shared" si="3"/>
        <v>0</v>
      </c>
      <c r="X4" s="117">
        <f t="shared" si="4"/>
        <v>29347128</v>
      </c>
      <c r="Y4" s="103" t="s">
        <v>4279</v>
      </c>
      <c r="Z4" s="103"/>
    </row>
    <row r="5" spans="1:33">
      <c r="A5" s="103"/>
      <c r="B5" s="103"/>
      <c r="C5" s="103"/>
      <c r="D5" s="103"/>
      <c r="E5" s="103"/>
      <c r="F5" s="103"/>
      <c r="G5" s="103"/>
      <c r="H5" s="103"/>
      <c r="I5" s="99">
        <f t="shared" si="5"/>
        <v>0</v>
      </c>
      <c r="J5" s="117">
        <f t="shared" si="6"/>
        <v>0</v>
      </c>
      <c r="K5" s="103"/>
      <c r="L5" s="100"/>
      <c r="M5" s="100"/>
      <c r="N5" s="103">
        <v>4</v>
      </c>
      <c r="O5" s="103" t="s">
        <v>4230</v>
      </c>
      <c r="P5" s="117">
        <v>18341955</v>
      </c>
      <c r="Q5" s="117">
        <v>0</v>
      </c>
      <c r="R5" s="117">
        <v>18341955</v>
      </c>
      <c r="S5" s="117">
        <f t="shared" si="0"/>
        <v>0</v>
      </c>
      <c r="T5" s="103">
        <v>0</v>
      </c>
      <c r="U5" s="103">
        <f t="shared" si="1"/>
        <v>6</v>
      </c>
      <c r="V5" s="117">
        <f t="shared" si="2"/>
        <v>0</v>
      </c>
      <c r="W5" s="117">
        <f t="shared" si="3"/>
        <v>110051730</v>
      </c>
      <c r="X5" s="117">
        <f t="shared" si="4"/>
        <v>0</v>
      </c>
      <c r="Y5" s="103" t="s">
        <v>4280</v>
      </c>
      <c r="Z5" s="103"/>
    </row>
    <row r="6" spans="1:33">
      <c r="A6" s="103"/>
      <c r="B6" s="103"/>
      <c r="C6" s="103"/>
      <c r="D6" s="103"/>
      <c r="E6" s="103">
        <v>0</v>
      </c>
      <c r="F6" s="103"/>
      <c r="G6" s="103"/>
      <c r="H6" s="103"/>
      <c r="I6" s="99">
        <f>F6-E6</f>
        <v>0</v>
      </c>
      <c r="J6" s="103"/>
      <c r="K6" s="103"/>
      <c r="L6" s="100"/>
      <c r="M6" s="100"/>
      <c r="N6" s="103">
        <v>5</v>
      </c>
      <c r="O6" s="103" t="s">
        <v>4230</v>
      </c>
      <c r="P6" s="117">
        <v>67253835</v>
      </c>
      <c r="Q6" s="117">
        <v>67253835</v>
      </c>
      <c r="R6" s="117">
        <v>0</v>
      </c>
      <c r="S6" s="117">
        <f t="shared" si="0"/>
        <v>0</v>
      </c>
      <c r="T6" s="103">
        <v>2</v>
      </c>
      <c r="U6" s="103">
        <f t="shared" si="1"/>
        <v>6</v>
      </c>
      <c r="V6" s="117">
        <f t="shared" si="2"/>
        <v>403523010</v>
      </c>
      <c r="W6" s="117">
        <f t="shared" si="3"/>
        <v>0</v>
      </c>
      <c r="X6" s="117">
        <f t="shared" si="4"/>
        <v>0</v>
      </c>
      <c r="Y6" s="103" t="s">
        <v>4281</v>
      </c>
      <c r="Z6" s="103"/>
    </row>
    <row r="7" spans="1:33">
      <c r="A7" s="103"/>
      <c r="B7" s="103"/>
      <c r="C7" s="103"/>
      <c r="D7" s="103"/>
      <c r="E7" s="103"/>
      <c r="F7" s="103"/>
      <c r="G7" s="103" t="s">
        <v>25</v>
      </c>
      <c r="H7" s="103"/>
      <c r="I7" s="99">
        <f t="shared" si="5"/>
        <v>0</v>
      </c>
      <c r="J7" s="103"/>
      <c r="K7" s="103"/>
      <c r="L7" s="100"/>
      <c r="M7" s="100"/>
      <c r="N7" s="103">
        <v>6</v>
      </c>
      <c r="O7" s="103" t="s">
        <v>4242</v>
      </c>
      <c r="P7" s="117">
        <v>3000000</v>
      </c>
      <c r="Q7" s="117">
        <v>1936648</v>
      </c>
      <c r="R7" s="117">
        <v>954545</v>
      </c>
      <c r="S7" s="117">
        <f t="shared" si="0"/>
        <v>108807</v>
      </c>
      <c r="T7" s="103">
        <v>2</v>
      </c>
      <c r="U7" s="103">
        <f t="shared" si="1"/>
        <v>4</v>
      </c>
      <c r="V7" s="117">
        <f t="shared" si="2"/>
        <v>7746592</v>
      </c>
      <c r="W7" s="117">
        <f t="shared" si="3"/>
        <v>3818180</v>
      </c>
      <c r="X7" s="117">
        <f t="shared" si="4"/>
        <v>435228</v>
      </c>
      <c r="Y7" s="103" t="s">
        <v>4245</v>
      </c>
      <c r="Z7" s="103" t="s">
        <v>4283</v>
      </c>
    </row>
    <row r="8" spans="1:33">
      <c r="A8" s="103"/>
      <c r="B8" s="103"/>
      <c r="C8" s="103"/>
      <c r="D8" s="103"/>
      <c r="E8" s="103"/>
      <c r="F8" s="103"/>
      <c r="G8" s="103"/>
      <c r="H8" s="103" t="s">
        <v>25</v>
      </c>
      <c r="I8" s="99">
        <f t="shared" si="5"/>
        <v>0</v>
      </c>
      <c r="J8" s="103"/>
      <c r="K8" s="103"/>
      <c r="L8" s="100"/>
      <c r="M8" s="100"/>
      <c r="N8" s="103">
        <v>7</v>
      </c>
      <c r="O8" s="103" t="s">
        <v>4271</v>
      </c>
      <c r="P8" s="117">
        <v>2904000</v>
      </c>
      <c r="Q8" s="117">
        <v>1980000</v>
      </c>
      <c r="R8" s="117">
        <v>924000</v>
      </c>
      <c r="S8" s="117">
        <f t="shared" si="0"/>
        <v>0</v>
      </c>
      <c r="T8" s="103">
        <v>1</v>
      </c>
      <c r="U8" s="103">
        <f t="shared" si="1"/>
        <v>2</v>
      </c>
      <c r="V8" s="117">
        <f t="shared" si="2"/>
        <v>3960000</v>
      </c>
      <c r="W8" s="117">
        <f t="shared" si="3"/>
        <v>1848000</v>
      </c>
      <c r="X8" s="117">
        <f t="shared" si="4"/>
        <v>0</v>
      </c>
      <c r="Y8" s="103" t="s">
        <v>4282</v>
      </c>
      <c r="Z8" s="103" t="s">
        <v>4284</v>
      </c>
    </row>
    <row r="9" spans="1:33">
      <c r="A9" s="103"/>
      <c r="B9" s="103"/>
      <c r="C9" s="103"/>
      <c r="D9" s="103"/>
      <c r="E9" s="103"/>
      <c r="F9" s="103"/>
      <c r="G9" s="103"/>
      <c r="H9" s="103"/>
      <c r="I9" s="99">
        <f t="shared" si="5"/>
        <v>0</v>
      </c>
      <c r="J9" s="103"/>
      <c r="K9" s="103"/>
      <c r="L9" s="100"/>
      <c r="M9" s="100"/>
      <c r="N9" s="103">
        <v>8</v>
      </c>
      <c r="O9" s="103" t="s">
        <v>4298</v>
      </c>
      <c r="P9" s="117">
        <v>5500000</v>
      </c>
      <c r="Q9" s="117">
        <v>5500000</v>
      </c>
      <c r="R9" s="117">
        <v>0</v>
      </c>
      <c r="S9" s="117">
        <f t="shared" si="0"/>
        <v>0</v>
      </c>
      <c r="T9" s="103">
        <v>1</v>
      </c>
      <c r="U9" s="103">
        <f t="shared" si="1"/>
        <v>1</v>
      </c>
      <c r="V9" s="117">
        <f t="shared" si="2"/>
        <v>5500000</v>
      </c>
      <c r="W9" s="117">
        <f t="shared" si="3"/>
        <v>0</v>
      </c>
      <c r="X9" s="117">
        <f t="shared" si="4"/>
        <v>0</v>
      </c>
      <c r="Y9" s="103"/>
      <c r="Z9" s="103"/>
    </row>
    <row r="10" spans="1:33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0"/>
      <c r="M10" s="100"/>
      <c r="N10" s="103">
        <v>9</v>
      </c>
      <c r="O10" s="103"/>
      <c r="P10" s="117"/>
      <c r="Q10" s="117"/>
      <c r="R10" s="117"/>
      <c r="S10" s="117">
        <f t="shared" si="0"/>
        <v>0</v>
      </c>
      <c r="T10" s="103"/>
      <c r="U10" s="103">
        <f t="shared" si="1"/>
        <v>0</v>
      </c>
      <c r="V10" s="117">
        <f t="shared" si="2"/>
        <v>0</v>
      </c>
      <c r="W10" s="117">
        <f t="shared" si="3"/>
        <v>0</v>
      </c>
      <c r="X10" s="117">
        <f t="shared" si="4"/>
        <v>0</v>
      </c>
      <c r="Y10" s="103" t="s">
        <v>25</v>
      </c>
      <c r="Z10" s="103"/>
      <c r="AD10" t="s">
        <v>1020</v>
      </c>
    </row>
    <row r="11" spans="1:33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0"/>
      <c r="M11" s="100"/>
      <c r="N11" s="103">
        <v>10</v>
      </c>
      <c r="O11" s="103"/>
      <c r="P11" s="117"/>
      <c r="Q11" s="117"/>
      <c r="R11" s="117"/>
      <c r="S11" s="117">
        <f t="shared" si="0"/>
        <v>0</v>
      </c>
      <c r="T11" s="103"/>
      <c r="U11" s="103">
        <f t="shared" si="1"/>
        <v>0</v>
      </c>
      <c r="V11" s="117">
        <f t="shared" si="2"/>
        <v>0</v>
      </c>
      <c r="W11" s="117">
        <f t="shared" si="3"/>
        <v>0</v>
      </c>
      <c r="X11" s="117">
        <f t="shared" si="4"/>
        <v>0</v>
      </c>
      <c r="Y11" s="103"/>
      <c r="Z11" s="103"/>
      <c r="AD11" t="s">
        <v>4262</v>
      </c>
      <c r="AE11" t="s">
        <v>4263</v>
      </c>
    </row>
    <row r="12" spans="1:33">
      <c r="A12" s="103"/>
      <c r="B12" s="103"/>
      <c r="C12" s="103"/>
      <c r="D12" s="103">
        <f>SUM(D2:D9)</f>
        <v>88</v>
      </c>
      <c r="E12" s="103"/>
      <c r="F12" s="103"/>
      <c r="G12" s="103"/>
      <c r="H12" s="103"/>
      <c r="I12" s="103"/>
      <c r="J12" s="99">
        <f>SUM(J2:J9)</f>
        <v>53436230</v>
      </c>
      <c r="K12" s="103"/>
      <c r="L12" s="100"/>
      <c r="M12" s="100"/>
      <c r="N12" s="103">
        <v>11</v>
      </c>
      <c r="O12" s="103"/>
      <c r="P12" s="117"/>
      <c r="Q12" s="117"/>
      <c r="R12" s="117"/>
      <c r="S12" s="117">
        <f t="shared" si="0"/>
        <v>0</v>
      </c>
      <c r="T12" s="103"/>
      <c r="U12" s="103">
        <f t="shared" si="1"/>
        <v>0</v>
      </c>
      <c r="V12" s="117">
        <f t="shared" si="2"/>
        <v>0</v>
      </c>
      <c r="W12" s="117">
        <f t="shared" si="3"/>
        <v>0</v>
      </c>
      <c r="X12" s="117">
        <f t="shared" si="4"/>
        <v>0</v>
      </c>
      <c r="Y12" s="103"/>
      <c r="Z12" s="103"/>
      <c r="AD12" t="s">
        <v>4264</v>
      </c>
      <c r="AE12" t="s">
        <v>4265</v>
      </c>
    </row>
    <row r="13" spans="1:33">
      <c r="D13" s="100" t="s">
        <v>6</v>
      </c>
      <c r="E13" s="100"/>
      <c r="J13" t="s">
        <v>4252</v>
      </c>
      <c r="N13" s="103">
        <v>12</v>
      </c>
      <c r="O13" s="103"/>
      <c r="P13" s="117"/>
      <c r="Q13" s="117"/>
      <c r="R13" s="117"/>
      <c r="S13" s="117">
        <f t="shared" si="0"/>
        <v>0</v>
      </c>
      <c r="T13" s="103"/>
      <c r="U13" s="103">
        <f t="shared" si="1"/>
        <v>0</v>
      </c>
      <c r="V13" s="117">
        <f t="shared" si="2"/>
        <v>0</v>
      </c>
      <c r="W13" s="117">
        <f t="shared" si="3"/>
        <v>0</v>
      </c>
      <c r="X13" s="117">
        <f t="shared" si="4"/>
        <v>0</v>
      </c>
      <c r="Y13" s="103"/>
      <c r="Z13" s="103"/>
      <c r="AD13" t="s">
        <v>4266</v>
      </c>
      <c r="AE13" t="s">
        <v>4267</v>
      </c>
    </row>
    <row r="14" spans="1:33">
      <c r="D14" s="100"/>
      <c r="E14" s="100"/>
      <c r="H14" t="s">
        <v>25</v>
      </c>
      <c r="N14" s="103">
        <v>13</v>
      </c>
      <c r="O14" s="103"/>
      <c r="P14" s="117"/>
      <c r="Q14" s="117"/>
      <c r="R14" s="117"/>
      <c r="S14" s="117">
        <f t="shared" si="0"/>
        <v>0</v>
      </c>
      <c r="T14" s="103"/>
      <c r="U14" s="103">
        <f t="shared" si="1"/>
        <v>0</v>
      </c>
      <c r="V14" s="117">
        <f t="shared" si="2"/>
        <v>0</v>
      </c>
      <c r="W14" s="117">
        <f t="shared" si="3"/>
        <v>0</v>
      </c>
      <c r="X14" s="117">
        <f t="shared" si="4"/>
        <v>0</v>
      </c>
      <c r="Y14" s="103"/>
      <c r="Z14" s="103"/>
    </row>
    <row r="15" spans="1:33">
      <c r="D15" s="100"/>
      <c r="E15" s="100"/>
      <c r="N15" s="103">
        <v>14</v>
      </c>
      <c r="O15" s="103"/>
      <c r="P15" s="117"/>
      <c r="Q15" s="117"/>
      <c r="R15" s="117"/>
      <c r="S15" s="117">
        <f t="shared" si="0"/>
        <v>0</v>
      </c>
      <c r="T15" s="103"/>
      <c r="U15" s="103">
        <f t="shared" si="1"/>
        <v>0</v>
      </c>
      <c r="V15" s="117">
        <f t="shared" si="2"/>
        <v>0</v>
      </c>
      <c r="W15" s="117"/>
      <c r="X15" s="117">
        <f t="shared" si="4"/>
        <v>0</v>
      </c>
      <c r="Y15" s="103"/>
      <c r="Z15" s="103"/>
    </row>
    <row r="16" spans="1:33">
      <c r="B16" t="s">
        <v>4194</v>
      </c>
      <c r="C16" t="s">
        <v>4195</v>
      </c>
      <c r="D16" s="100"/>
      <c r="E16" s="100" t="s">
        <v>25</v>
      </c>
      <c r="N16" s="103">
        <v>15</v>
      </c>
      <c r="O16" s="103"/>
      <c r="P16" s="117"/>
      <c r="Q16" s="117"/>
      <c r="R16" s="117">
        <v>0</v>
      </c>
      <c r="S16" s="117">
        <f t="shared" si="0"/>
        <v>0</v>
      </c>
      <c r="T16" s="103"/>
      <c r="U16" s="103">
        <f t="shared" si="1"/>
        <v>0</v>
      </c>
      <c r="V16" s="117">
        <f t="shared" si="2"/>
        <v>0</v>
      </c>
      <c r="W16" s="117">
        <f>R16*U16</f>
        <v>0</v>
      </c>
      <c r="X16" s="117">
        <f t="shared" si="4"/>
        <v>0</v>
      </c>
      <c r="Y16" s="103"/>
      <c r="Z16" s="103"/>
    </row>
    <row r="17" spans="2:31">
      <c r="B17" t="s">
        <v>4196</v>
      </c>
      <c r="C17" t="s">
        <v>4197</v>
      </c>
      <c r="D17" s="100"/>
      <c r="E17" s="100"/>
      <c r="N17" s="103">
        <v>16</v>
      </c>
      <c r="O17" s="103"/>
      <c r="P17" s="117"/>
      <c r="Q17" s="117"/>
      <c r="R17" s="117">
        <v>0</v>
      </c>
      <c r="S17" s="117">
        <f t="shared" si="0"/>
        <v>0</v>
      </c>
      <c r="T17" s="103"/>
      <c r="U17" s="103">
        <f t="shared" si="1"/>
        <v>0</v>
      </c>
      <c r="V17" s="117">
        <f t="shared" si="2"/>
        <v>0</v>
      </c>
      <c r="W17" s="117">
        <f>R17*U17</f>
        <v>0</v>
      </c>
      <c r="X17" s="117">
        <f t="shared" si="4"/>
        <v>0</v>
      </c>
      <c r="Y17" s="103"/>
      <c r="Z17" s="103"/>
    </row>
    <row r="18" spans="2:31">
      <c r="D18" s="100"/>
      <c r="E18" s="100"/>
      <c r="N18" s="103">
        <v>17</v>
      </c>
      <c r="O18" s="103"/>
      <c r="P18" s="117"/>
      <c r="Q18" s="117"/>
      <c r="R18" s="117">
        <v>0</v>
      </c>
      <c r="S18" s="117">
        <f t="shared" si="0"/>
        <v>0</v>
      </c>
      <c r="T18" s="103"/>
      <c r="U18" s="103"/>
      <c r="V18" s="117"/>
      <c r="W18" s="117">
        <f>R18*U18</f>
        <v>0</v>
      </c>
      <c r="X18" s="117"/>
      <c r="Y18" s="103"/>
      <c r="Z18" s="103"/>
    </row>
    <row r="19" spans="2:31">
      <c r="N19" s="103">
        <v>18</v>
      </c>
      <c r="O19" s="103"/>
      <c r="P19" s="117">
        <f>SUM(P2:P17)</f>
        <v>118585778</v>
      </c>
      <c r="Q19" s="117">
        <f>SUM(Q2:Q18)</f>
        <v>77844744</v>
      </c>
      <c r="R19" s="117">
        <f>SUM(R2:R18)</f>
        <v>35741039</v>
      </c>
      <c r="S19" s="117">
        <f>SUM(S2:S17)</f>
        <v>4999995</v>
      </c>
      <c r="T19" s="103"/>
      <c r="U19" s="103"/>
      <c r="V19" s="117">
        <f>SUM(V2:V18)</f>
        <v>430123690</v>
      </c>
      <c r="W19" s="117">
        <f>SUM(W2:W18)</f>
        <v>224361683</v>
      </c>
      <c r="X19" s="117">
        <f>SUM(X2:X17)</f>
        <v>29782356</v>
      </c>
      <c r="Y19" s="103"/>
      <c r="Z19" s="103"/>
    </row>
    <row r="20" spans="2:31">
      <c r="P20" t="s">
        <v>946</v>
      </c>
      <c r="Q20" s="100" t="s">
        <v>4220</v>
      </c>
      <c r="R20" s="100" t="s">
        <v>4221</v>
      </c>
      <c r="S20" t="s">
        <v>4239</v>
      </c>
      <c r="V20" t="s">
        <v>37</v>
      </c>
      <c r="W20" t="s">
        <v>4222</v>
      </c>
      <c r="X20" t="s">
        <v>4238</v>
      </c>
    </row>
    <row r="21" spans="2:31">
      <c r="P21">
        <f>J12/P19</f>
        <v>0.45061246720496279</v>
      </c>
      <c r="V21" s="118">
        <f>J12*V19/V26</f>
        <v>33589467.182499118</v>
      </c>
      <c r="W21" s="118">
        <f>J12*W19/V26</f>
        <v>17520981.902063496</v>
      </c>
      <c r="X21" s="118">
        <f>J12*X19/V26</f>
        <v>2325780.9154373845</v>
      </c>
    </row>
    <row r="22" spans="2:31">
      <c r="P22" t="s">
        <v>4253</v>
      </c>
    </row>
    <row r="23" spans="2:31">
      <c r="AC23" s="103" t="s">
        <v>4304</v>
      </c>
      <c r="AD23" s="103" t="s">
        <v>267</v>
      </c>
      <c r="AE23" s="103" t="s">
        <v>180</v>
      </c>
    </row>
    <row r="24" spans="2:31">
      <c r="AC24" s="103">
        <v>1</v>
      </c>
      <c r="AD24" s="117">
        <v>4960000</v>
      </c>
      <c r="AE24" s="103" t="s">
        <v>4305</v>
      </c>
    </row>
    <row r="25" spans="2:31">
      <c r="AC25" s="103">
        <v>2</v>
      </c>
      <c r="AD25" s="117">
        <v>15000000</v>
      </c>
      <c r="AE25" s="103" t="s">
        <v>4288</v>
      </c>
    </row>
    <row r="26" spans="2:31">
      <c r="V26" s="118">
        <f>V19+W19+X19</f>
        <v>684267729</v>
      </c>
      <c r="AC26" s="103">
        <v>3</v>
      </c>
      <c r="AD26" s="117">
        <v>15000000</v>
      </c>
      <c r="AE26" s="103" t="s">
        <v>4289</v>
      </c>
    </row>
    <row r="27" spans="2:31">
      <c r="V27" t="s">
        <v>4254</v>
      </c>
      <c r="AC27" s="103">
        <v>4</v>
      </c>
      <c r="AD27" s="182">
        <v>3000000</v>
      </c>
      <c r="AE27" s="103" t="s">
        <v>4306</v>
      </c>
    </row>
    <row r="28" spans="2:31">
      <c r="AC28" s="103">
        <v>5</v>
      </c>
      <c r="AD28" s="182">
        <v>2500000</v>
      </c>
      <c r="AE28" s="103" t="s">
        <v>4294</v>
      </c>
    </row>
    <row r="29" spans="2:31">
      <c r="AC29" s="103"/>
      <c r="AD29" s="103"/>
      <c r="AE29" s="103"/>
    </row>
    <row r="30" spans="2:31">
      <c r="AC30" s="103"/>
      <c r="AD30" s="103"/>
      <c r="AE30" s="103"/>
    </row>
    <row r="31" spans="2:31">
      <c r="I31" s="103" t="s">
        <v>180</v>
      </c>
      <c r="J31" s="103" t="s">
        <v>4292</v>
      </c>
      <c r="K31" s="103" t="s">
        <v>1145</v>
      </c>
      <c r="L31" s="103" t="s">
        <v>4293</v>
      </c>
      <c r="M31" s="103"/>
      <c r="N31" s="103"/>
      <c r="O31" s="117" t="s">
        <v>4295</v>
      </c>
      <c r="P31" s="103" t="s">
        <v>4297</v>
      </c>
      <c r="AC31" s="103"/>
      <c r="AD31" s="103"/>
      <c r="AE31" s="103"/>
    </row>
    <row r="32" spans="2:31">
      <c r="H32">
        <v>1</v>
      </c>
      <c r="I32" s="103" t="s">
        <v>4287</v>
      </c>
      <c r="J32" s="117">
        <v>15550</v>
      </c>
      <c r="K32" s="117">
        <v>11979</v>
      </c>
      <c r="L32" s="117">
        <f>J32-K32</f>
        <v>3571</v>
      </c>
      <c r="M32" s="117"/>
      <c r="N32" s="117"/>
      <c r="O32" s="99">
        <f>L32-$L$34</f>
        <v>-43</v>
      </c>
      <c r="P32" s="117">
        <f>O32*8800</f>
        <v>-378400</v>
      </c>
      <c r="AC32" s="103"/>
      <c r="AD32" s="103"/>
      <c r="AE32" s="103"/>
    </row>
    <row r="33" spans="8:31">
      <c r="H33">
        <v>13</v>
      </c>
      <c r="I33" s="103" t="s">
        <v>4288</v>
      </c>
      <c r="J33" s="117">
        <v>15560</v>
      </c>
      <c r="K33" s="117">
        <v>12060</v>
      </c>
      <c r="L33" s="117">
        <f t="shared" ref="L33:L37" si="8">J33-K33</f>
        <v>3500</v>
      </c>
      <c r="M33" s="117"/>
      <c r="N33" s="117"/>
      <c r="O33" s="99">
        <f t="shared" ref="O33:O37" si="9">L33-$L$34</f>
        <v>-114</v>
      </c>
      <c r="P33" s="117">
        <f t="shared" ref="P33:P37" si="10">O33*8800</f>
        <v>-1003200</v>
      </c>
      <c r="AC33" s="103"/>
      <c r="AD33" s="103"/>
      <c r="AE33" s="103"/>
    </row>
    <row r="34" spans="8:31">
      <c r="H34">
        <v>74</v>
      </c>
      <c r="I34" s="103" t="s">
        <v>4289</v>
      </c>
      <c r="J34" s="117">
        <v>16020</v>
      </c>
      <c r="K34" s="117">
        <v>12406</v>
      </c>
      <c r="L34" s="117">
        <f t="shared" si="8"/>
        <v>3614</v>
      </c>
      <c r="M34" s="117"/>
      <c r="N34" s="117"/>
      <c r="O34" s="99">
        <f t="shared" si="9"/>
        <v>0</v>
      </c>
      <c r="P34" s="117">
        <f t="shared" si="10"/>
        <v>0</v>
      </c>
      <c r="AC34" s="103"/>
      <c r="AD34" s="99">
        <f>SUM(AD24:AD33)</f>
        <v>40460000</v>
      </c>
      <c r="AE34" s="103"/>
    </row>
    <row r="35" spans="8:31">
      <c r="I35" s="103" t="s">
        <v>4290</v>
      </c>
      <c r="J35" s="117">
        <v>16442</v>
      </c>
      <c r="K35" s="117">
        <v>12680</v>
      </c>
      <c r="L35" s="117">
        <f t="shared" si="8"/>
        <v>3762</v>
      </c>
      <c r="M35" s="117"/>
      <c r="N35" s="117"/>
      <c r="O35" s="99">
        <f t="shared" si="9"/>
        <v>148</v>
      </c>
      <c r="P35" s="117">
        <f t="shared" si="10"/>
        <v>1302400</v>
      </c>
      <c r="AD35" t="s">
        <v>6</v>
      </c>
    </row>
    <row r="36" spans="8:31">
      <c r="I36" s="103" t="s">
        <v>4291</v>
      </c>
      <c r="J36" s="117">
        <v>16820</v>
      </c>
      <c r="K36" s="117">
        <v>12960</v>
      </c>
      <c r="L36" s="117">
        <f t="shared" si="8"/>
        <v>3860</v>
      </c>
      <c r="M36" s="117"/>
      <c r="N36" s="117"/>
      <c r="O36" s="99">
        <f t="shared" si="9"/>
        <v>246</v>
      </c>
      <c r="P36" s="117">
        <f t="shared" si="10"/>
        <v>2164800</v>
      </c>
    </row>
    <row r="37" spans="8:31">
      <c r="I37" s="103" t="s">
        <v>4294</v>
      </c>
      <c r="J37" s="117">
        <v>17320</v>
      </c>
      <c r="K37" s="117">
        <v>13310</v>
      </c>
      <c r="L37" s="117">
        <f t="shared" si="8"/>
        <v>4010</v>
      </c>
      <c r="M37" s="117"/>
      <c r="N37" s="117"/>
      <c r="O37" s="99">
        <f t="shared" si="9"/>
        <v>396</v>
      </c>
      <c r="P37" s="117">
        <f t="shared" si="10"/>
        <v>3484800</v>
      </c>
    </row>
    <row r="40" spans="8:31">
      <c r="R40" s="117">
        <v>17320</v>
      </c>
      <c r="S40" s="117">
        <v>13310</v>
      </c>
      <c r="T40" s="117">
        <f>R40-S40</f>
        <v>4010</v>
      </c>
      <c r="U40" s="117"/>
      <c r="V40" s="117">
        <f>T41-T40</f>
        <v>120.30000000000109</v>
      </c>
      <c r="W40" s="117">
        <f>V40*8800</f>
        <v>1058640.0000000095</v>
      </c>
    </row>
    <row r="41" spans="8:31">
      <c r="P41" t="s">
        <v>25</v>
      </c>
      <c r="R41" s="117">
        <f>R40*1.03</f>
        <v>17839.600000000002</v>
      </c>
      <c r="S41" s="117">
        <f>S40*1.03</f>
        <v>13709.300000000001</v>
      </c>
      <c r="T41" s="117">
        <f>R41-S41</f>
        <v>4130.3000000000011</v>
      </c>
      <c r="U41" s="117"/>
      <c r="V41" s="117"/>
      <c r="W41" s="11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>
      <c r="A35" s="103" t="s">
        <v>4068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>
      <c r="A38" s="103" t="s">
        <v>4069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>
      <c r="A39" s="103" t="s">
        <v>4034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>
      <c r="A40" s="103" t="s">
        <v>4067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>
      <c r="A41" s="103" t="s">
        <v>4065</v>
      </c>
      <c r="B41" s="117">
        <v>-315101</v>
      </c>
      <c r="C41" s="103" t="s">
        <v>4066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>
      <c r="A42" s="103" t="s">
        <v>3719</v>
      </c>
      <c r="B42" s="117">
        <v>-416000</v>
      </c>
      <c r="C42" s="103" t="s">
        <v>4075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زعفران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2018-09-16T08:28:19Z</dcterms:modified>
</cp:coreProperties>
</file>