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04" i="52" l="1"/>
  <c r="J104" i="52"/>
  <c r="G139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P175" i="18"/>
  <c r="W253" i="18"/>
  <c r="D284" i="15" l="1"/>
  <c r="F285" i="15"/>
  <c r="AL239" i="18"/>
  <c r="D8" i="60"/>
  <c r="D16" i="60"/>
  <c r="C7" i="60"/>
  <c r="D7" i="60" s="1"/>
  <c r="J3" i="60"/>
  <c r="F8" i="60" s="1"/>
  <c r="D3" i="60"/>
  <c r="D4" i="60"/>
  <c r="D5" i="60"/>
  <c r="D6" i="60"/>
  <c r="D2" i="60"/>
  <c r="D21" i="60" s="1"/>
  <c r="F284" i="15" l="1"/>
  <c r="D283" i="15"/>
  <c r="F13" i="60"/>
  <c r="D13" i="60"/>
  <c r="F18" i="60"/>
  <c r="F10" i="60"/>
  <c r="D12" i="60"/>
  <c r="F17" i="60"/>
  <c r="F9" i="60"/>
  <c r="D17" i="60"/>
  <c r="D9" i="60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2" i="18"/>
  <c r="D282" i="15" l="1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O106" i="52"/>
  <c r="N107" i="52"/>
  <c r="P107" i="52" s="1"/>
  <c r="O107" i="52"/>
  <c r="N108" i="52"/>
  <c r="O108" i="52"/>
  <c r="N109" i="52"/>
  <c r="O109" i="52"/>
  <c r="N110" i="52"/>
  <c r="P110" i="52" s="1"/>
  <c r="O110" i="52"/>
  <c r="N111" i="52"/>
  <c r="O111" i="52"/>
  <c r="P111" i="52"/>
  <c r="J100" i="52"/>
  <c r="J101" i="52"/>
  <c r="J102" i="52"/>
  <c r="J103" i="52"/>
  <c r="J105" i="52"/>
  <c r="J106" i="52"/>
  <c r="J107" i="52"/>
  <c r="J108" i="52"/>
  <c r="J109" i="52"/>
  <c r="J110" i="52"/>
  <c r="J111" i="52"/>
  <c r="J112" i="52"/>
  <c r="J97" i="52"/>
  <c r="J98" i="52"/>
  <c r="J99" i="52"/>
  <c r="P106" i="52" l="1"/>
  <c r="D278" i="15"/>
  <c r="F279" i="15"/>
  <c r="P105" i="52"/>
  <c r="AM234" i="18"/>
  <c r="AL233" i="18"/>
  <c r="P108" i="52"/>
  <c r="P99" i="52"/>
  <c r="P109" i="52"/>
  <c r="P103" i="52"/>
  <c r="P102" i="52"/>
  <c r="P101" i="52"/>
  <c r="P100" i="52"/>
  <c r="F278" i="15" l="1"/>
  <c r="D277" i="15"/>
  <c r="AL232" i="18"/>
  <c r="AM233" i="18"/>
  <c r="R287" i="18"/>
  <c r="J90" i="52"/>
  <c r="J95" i="52"/>
  <c r="W251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5" i="18"/>
  <c r="O144" i="18"/>
  <c r="O143" i="18"/>
  <c r="AM230" i="18" l="1"/>
  <c r="AL229" i="18"/>
  <c r="P97" i="52"/>
  <c r="P98" i="52"/>
  <c r="P95" i="52"/>
  <c r="P96" i="52"/>
  <c r="P94" i="52"/>
  <c r="P93" i="52"/>
  <c r="O147" i="18"/>
  <c r="N91" i="52"/>
  <c r="P92" i="52" s="1"/>
  <c r="AL228" i="18" l="1"/>
  <c r="AM228" i="18" s="1"/>
  <c r="AM229" i="18"/>
  <c r="R249" i="18"/>
  <c r="W250" i="18"/>
  <c r="W249" i="18"/>
  <c r="W248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7" i="18"/>
  <c r="G140" i="18" l="1"/>
  <c r="J140" i="18" s="1"/>
  <c r="J139" i="18"/>
  <c r="G138" i="18"/>
  <c r="J138" i="18" s="1"/>
  <c r="G137" i="18"/>
  <c r="J137" i="18" s="1"/>
  <c r="J141" i="18" l="1"/>
  <c r="R219" i="18"/>
  <c r="T271" i="18" s="1"/>
  <c r="W246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5" i="18"/>
  <c r="G32" i="57" l="1"/>
  <c r="H32" i="57"/>
  <c r="D32" i="57"/>
  <c r="I32" i="57" s="1"/>
  <c r="D345" i="20"/>
  <c r="U255" i="18"/>
  <c r="W244" i="18"/>
  <c r="W243" i="18"/>
  <c r="W179" i="18" l="1"/>
  <c r="W17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2" i="18"/>
  <c r="D343" i="20"/>
  <c r="W241" i="18" l="1"/>
  <c r="D342" i="20"/>
  <c r="J83" i="52"/>
  <c r="O83" i="52"/>
  <c r="W240" i="18"/>
  <c r="W239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38" i="18"/>
  <c r="AL145" i="18" l="1"/>
  <c r="AM145" i="18" s="1"/>
  <c r="D340" i="20" l="1"/>
  <c r="P23" i="18"/>
  <c r="N23" i="18" s="1"/>
  <c r="N48" i="18"/>
  <c r="W237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6" i="18" l="1"/>
  <c r="D80" i="57"/>
  <c r="AD46" i="52" l="1"/>
  <c r="AE46" i="52"/>
  <c r="G46" i="10"/>
  <c r="D331" i="20" l="1"/>
  <c r="D330" i="20" l="1"/>
  <c r="W235" i="18" l="1"/>
  <c r="W234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3" i="18" l="1"/>
  <c r="W232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1" i="18"/>
  <c r="W230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9" i="18" l="1"/>
  <c r="W22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7" i="18" l="1"/>
  <c r="W22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25" i="18" l="1"/>
  <c r="W224" i="18"/>
  <c r="N30" i="52"/>
  <c r="N29" i="52"/>
  <c r="AD27" i="52"/>
  <c r="Z27" i="52"/>
  <c r="AE27" i="52"/>
  <c r="W223" i="18" l="1"/>
  <c r="W222" i="18"/>
  <c r="N28" i="52"/>
  <c r="N27" i="52"/>
  <c r="AD26" i="52" l="1"/>
  <c r="AE26" i="52"/>
  <c r="N40" i="18"/>
  <c r="AL227" i="18" l="1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1" i="18"/>
  <c r="W220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9" i="18"/>
  <c r="W218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7" i="18"/>
  <c r="W216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5" i="18"/>
  <c r="W214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3" i="18"/>
  <c r="W21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1" i="18"/>
  <c r="W210" i="18"/>
  <c r="D303" i="20"/>
  <c r="D302" i="20"/>
  <c r="W20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7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6" i="18"/>
  <c r="W205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4" i="18"/>
  <c r="W203" i="18"/>
  <c r="G346" i="20" l="1"/>
  <c r="J347" i="20"/>
  <c r="I347" i="20"/>
  <c r="K347" i="20"/>
  <c r="D293" i="20"/>
  <c r="K346" i="20" l="1"/>
  <c r="G345" i="20"/>
  <c r="J346" i="20"/>
  <c r="I346" i="20"/>
  <c r="W202" i="18"/>
  <c r="N53" i="18"/>
  <c r="M113" i="18" s="1"/>
  <c r="N57" i="18"/>
  <c r="K345" i="20" l="1"/>
  <c r="G344" i="20"/>
  <c r="J345" i="20"/>
  <c r="I345" i="20"/>
  <c r="N113" i="18"/>
  <c r="D292" i="20"/>
  <c r="C8" i="36"/>
  <c r="W201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6" i="18"/>
  <c r="W199" i="18"/>
  <c r="D278" i="20"/>
  <c r="J327" i="20" l="1"/>
  <c r="K327" i="20"/>
  <c r="G326" i="20"/>
  <c r="I327" i="20"/>
  <c r="W177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1" i="18"/>
  <c r="I325" i="20" l="1"/>
  <c r="K325" i="20"/>
  <c r="J325" i="20"/>
  <c r="G324" i="20"/>
  <c r="S17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7" i="18"/>
  <c r="AM124" i="18" l="1"/>
  <c r="AL123" i="18"/>
  <c r="AM123" i="18" l="1"/>
  <c r="AL122" i="18"/>
  <c r="AL121" i="18" l="1"/>
  <c r="AM122" i="18"/>
  <c r="W191" i="18"/>
  <c r="W192" i="18"/>
  <c r="W193" i="18"/>
  <c r="W194" i="18"/>
  <c r="W195" i="18"/>
  <c r="W196" i="18"/>
  <c r="W208" i="18"/>
  <c r="W190" i="18"/>
  <c r="AM121" i="18" l="1"/>
  <c r="AL120" i="18"/>
  <c r="N59" i="18"/>
  <c r="AM120" i="18" l="1"/>
  <c r="AL119" i="18"/>
  <c r="AM119" i="18" l="1"/>
  <c r="AL118" i="18"/>
  <c r="T174" i="18"/>
  <c r="S60" i="18"/>
  <c r="S61" i="18" s="1"/>
  <c r="S62" i="18" s="1"/>
  <c r="R195" i="18"/>
  <c r="R193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2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45" i="18"/>
  <c r="AJ246" i="18" s="1"/>
  <c r="R191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AM241" i="18" s="1"/>
  <c r="AN241" i="18" s="1"/>
  <c r="AJ244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6" i="18" s="1"/>
  <c r="M109" i="18" l="1"/>
  <c r="N109" i="18" s="1"/>
  <c r="N120" i="18" s="1"/>
  <c r="AJ171" i="18"/>
  <c r="AJ172" i="18" s="1"/>
  <c r="R190" i="18"/>
  <c r="R200" i="18" s="1"/>
  <c r="T258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1" i="18" l="1"/>
  <c r="S179" i="18"/>
  <c r="U271" i="18"/>
  <c r="G304" i="20"/>
  <c r="I305" i="20"/>
  <c r="K305" i="20"/>
  <c r="J305" i="20"/>
  <c r="S129" i="18"/>
  <c r="AL73" i="18"/>
  <c r="AM74" i="18"/>
  <c r="N90" i="18"/>
  <c r="V53" i="18" l="1"/>
  <c r="W53" i="18" s="1"/>
  <c r="V78" i="18"/>
  <c r="V52" i="18"/>
  <c r="X52" i="18" s="1"/>
  <c r="V77" i="18"/>
  <c r="V73" i="18"/>
  <c r="V76" i="18"/>
  <c r="V74" i="18"/>
  <c r="V75" i="18"/>
  <c r="U179" i="18"/>
  <c r="V179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1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5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8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5" i="18"/>
  <c r="X165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7" i="18"/>
  <c r="S176" i="18"/>
  <c r="U176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8" i="18" l="1"/>
  <c r="V178" i="18" s="1"/>
  <c r="N36" i="18"/>
  <c r="L21" i="18" s="1"/>
  <c r="U177" i="18"/>
  <c r="V177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S154" i="18" s="1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X160" i="18"/>
  <c r="G29" i="14"/>
  <c r="E28" i="14"/>
  <c r="K265" i="20"/>
  <c r="G264" i="20"/>
  <c r="J265" i="20"/>
  <c r="I265" i="20"/>
  <c r="D259" i="15"/>
  <c r="AL33" i="18"/>
  <c r="AM34" i="18"/>
  <c r="V162" i="18" l="1"/>
  <c r="X162" i="18" s="1"/>
  <c r="S163" i="18"/>
  <c r="X161" i="18"/>
  <c r="W162" i="18"/>
  <c r="E27" i="14"/>
  <c r="G28" i="14"/>
  <c r="G263" i="20"/>
  <c r="K264" i="20"/>
  <c r="J264" i="20"/>
  <c r="I264" i="20"/>
  <c r="D258" i="15"/>
  <c r="F259" i="15"/>
  <c r="AL32" i="18"/>
  <c r="AM33" i="18"/>
  <c r="V163" i="18" l="1"/>
  <c r="S164" i="18"/>
  <c r="V164" i="18" s="1"/>
  <c r="W163" i="18"/>
  <c r="X163" i="18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W164" i="18" l="1"/>
  <c r="X164" i="18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697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N1544" i="41" s="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128" i="41"/>
  <c r="N200" i="41"/>
  <c r="N240" i="41"/>
  <c r="N280" i="41"/>
  <c r="N368" i="41"/>
  <c r="N448" i="41"/>
  <c r="N528" i="41"/>
  <c r="N560" i="41"/>
  <c r="N568" i="41"/>
  <c r="N579" i="41"/>
  <c r="N608" i="41"/>
  <c r="N611" i="41"/>
  <c r="N635" i="41"/>
  <c r="N656" i="41"/>
  <c r="N688" i="41"/>
  <c r="N736" i="41"/>
  <c r="N883" i="41"/>
  <c r="N888" i="41"/>
  <c r="N915" i="41"/>
  <c r="N995" i="41"/>
  <c r="N1000" i="41"/>
  <c r="N1008" i="41"/>
  <c r="N1088" i="41"/>
  <c r="N1128" i="41"/>
  <c r="N1243" i="41"/>
  <c r="N1251" i="41"/>
  <c r="N2243" i="41"/>
  <c r="K2337" i="41"/>
  <c r="N10" i="41"/>
  <c r="N15" i="41"/>
  <c r="N31" i="41"/>
  <c r="N66" i="41"/>
  <c r="N95" i="41"/>
  <c r="N103" i="41"/>
  <c r="N143" i="41"/>
  <c r="N151" i="41"/>
  <c r="N175" i="41"/>
  <c r="N191" i="41"/>
  <c r="N210" i="41"/>
  <c r="N215" i="41"/>
  <c r="N239" i="41"/>
  <c r="N250" i="41"/>
  <c r="N263" i="41"/>
  <c r="N271" i="41"/>
  <c r="N288" i="41"/>
  <c r="N320" i="41"/>
  <c r="N328" i="41"/>
  <c r="N330" i="41"/>
  <c r="N360" i="41"/>
  <c r="N370" i="41"/>
  <c r="N383" i="41"/>
  <c r="N410" i="41"/>
  <c r="N423" i="41"/>
  <c r="N431" i="41"/>
  <c r="N440" i="41"/>
  <c r="N471" i="41"/>
  <c r="N480" i="41"/>
  <c r="N520" i="41"/>
  <c r="N535" i="41"/>
  <c r="N538" i="41"/>
  <c r="N570" i="41"/>
  <c r="N591" i="41"/>
  <c r="N618" i="41"/>
  <c r="N631" i="41"/>
  <c r="N641" i="41"/>
  <c r="N658" i="41"/>
  <c r="N696" i="41"/>
  <c r="N698" i="41"/>
  <c r="N703" i="41"/>
  <c r="N746" i="41"/>
  <c r="N775" i="41"/>
  <c r="N783" i="41"/>
  <c r="N784" i="41"/>
  <c r="N800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1013" i="41"/>
  <c r="N1023" i="41"/>
  <c r="N1055" i="41"/>
  <c r="N1063" i="41"/>
  <c r="N1073" i="41"/>
  <c r="N1103" i="41"/>
  <c r="N1104" i="41"/>
  <c r="N1113" i="41"/>
  <c r="N1143" i="41"/>
  <c r="N1151" i="41"/>
  <c r="N1183" i="41"/>
  <c r="N1191" i="41"/>
  <c r="N1223" i="41"/>
  <c r="N1231" i="41"/>
  <c r="N1240" i="41"/>
  <c r="N1255" i="41"/>
  <c r="N1263" i="41"/>
  <c r="N1271" i="41"/>
  <c r="N1280" i="41"/>
  <c r="N1295" i="41"/>
  <c r="N1311" i="41"/>
  <c r="N1320" i="41"/>
  <c r="N1328" i="41"/>
  <c r="N1330" i="41"/>
  <c r="N1338" i="41"/>
  <c r="N1346" i="41"/>
  <c r="N1360" i="41"/>
  <c r="N1378" i="41"/>
  <c r="N1383" i="41"/>
  <c r="N1386" i="41"/>
  <c r="N1400" i="41"/>
  <c r="N1408" i="41"/>
  <c r="N1410" i="41"/>
  <c r="N1418" i="41"/>
  <c r="N1423" i="41"/>
  <c r="N1426" i="41"/>
  <c r="N1431" i="41"/>
  <c r="N1448" i="41"/>
  <c r="N1455" i="41"/>
  <c r="N1458" i="41"/>
  <c r="N1463" i="41"/>
  <c r="N1480" i="41"/>
  <c r="N1488" i="41"/>
  <c r="N1490" i="41"/>
  <c r="N1495" i="41"/>
  <c r="N1496" i="41"/>
  <c r="N1519" i="41"/>
  <c r="N1528" i="41"/>
  <c r="N1543" i="41"/>
  <c r="N1548" i="41"/>
  <c r="N1583" i="41"/>
  <c r="N1600" i="41"/>
  <c r="N1616" i="41"/>
  <c r="N1623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48" i="41"/>
  <c r="N1855" i="41"/>
  <c r="N1856" i="41"/>
  <c r="N1863" i="41"/>
  <c r="N1866" i="41"/>
  <c r="N1895" i="41"/>
  <c r="N1903" i="41"/>
  <c r="N1904" i="41"/>
  <c r="N1943" i="41"/>
  <c r="N1951" i="41"/>
  <c r="N1959" i="41"/>
  <c r="N1968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46" i="41"/>
  <c r="N2151" i="41"/>
  <c r="N2160" i="41"/>
  <c r="N2168" i="41"/>
  <c r="N2175" i="41"/>
  <c r="N2208" i="41"/>
  <c r="N2215" i="41"/>
  <c r="N2216" i="41"/>
  <c r="N2255" i="41"/>
  <c r="N2266" i="41"/>
  <c r="N2271" i="41"/>
  <c r="N2288" i="41"/>
  <c r="N2295" i="41"/>
  <c r="N2311" i="41"/>
  <c r="N2330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 s="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 s="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512" i="41" l="1"/>
  <c r="L1372" i="41"/>
  <c r="L1212" i="41"/>
  <c r="N1212" i="41" s="1"/>
  <c r="L1052" i="41"/>
  <c r="L2112" i="41"/>
  <c r="N2112" i="41" s="1"/>
  <c r="L1832" i="4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L1902" i="41"/>
  <c r="L1742" i="41"/>
  <c r="L262" i="41"/>
  <c r="L42" i="41"/>
  <c r="L1157" i="41"/>
  <c r="L2387" i="41"/>
  <c r="N2387" i="41" s="1"/>
  <c r="L2357" i="41"/>
  <c r="L2277" i="41"/>
  <c r="L2217" i="41"/>
  <c r="L2197" i="41"/>
  <c r="L2157" i="41"/>
  <c r="L1582" i="41"/>
  <c r="L1562" i="41"/>
  <c r="N1562" i="41" s="1"/>
  <c r="L1522" i="41"/>
  <c r="L1482" i="41"/>
  <c r="L1442" i="41"/>
  <c r="L1422" i="41"/>
  <c r="L1362" i="41"/>
  <c r="L1322" i="41"/>
  <c r="L1302" i="41"/>
  <c r="L1282" i="41"/>
  <c r="L1232" i="41"/>
  <c r="L597" i="41"/>
  <c r="L437" i="41"/>
  <c r="L397" i="41"/>
  <c r="L1942" i="41"/>
  <c r="L1937" i="41"/>
  <c r="N1937" i="41" s="1"/>
  <c r="L1797" i="41"/>
  <c r="L1757" i="41"/>
  <c r="L1112" i="41"/>
  <c r="L1102" i="41"/>
  <c r="L2102" i="41"/>
  <c r="L1922" i="41"/>
  <c r="L1882" i="41"/>
  <c r="N1882" i="41" s="1"/>
  <c r="L62" i="41"/>
  <c r="L1992" i="41"/>
  <c r="N1992" i="41" s="1"/>
  <c r="L1852" i="41"/>
  <c r="L1997" i="41"/>
  <c r="N2207" i="41"/>
  <c r="L2027" i="41"/>
  <c r="L1887" i="41"/>
  <c r="L1707" i="41"/>
  <c r="N1567" i="41"/>
  <c r="L1067" i="41"/>
  <c r="L2382" i="41"/>
  <c r="L1617" i="41"/>
  <c r="L1577" i="41"/>
  <c r="L1417" i="41"/>
  <c r="L882" i="41"/>
  <c r="L862" i="41"/>
  <c r="L842" i="41"/>
  <c r="N842" i="41" s="1"/>
  <c r="L802" i="41"/>
  <c r="L662" i="41"/>
  <c r="L642" i="41"/>
  <c r="L622" i="41"/>
  <c r="L602" i="41"/>
  <c r="L592" i="41"/>
  <c r="N592" i="41" s="1"/>
  <c r="L582" i="41"/>
  <c r="L552" i="41"/>
  <c r="N552" i="41" s="1"/>
  <c r="L512" i="4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N2317" i="41" s="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N1082" i="41" s="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N1877" i="41" s="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N2002" i="41" s="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7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<sst xmlns="http://schemas.openxmlformats.org/spreadsheetml/2006/main" count="11753" uniqueCount="5060">
  <si>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</si>
  <si>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</si>
  <si>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</si>
  <si>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</si>
  <si>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</si>
  <si>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</si>
  <si>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</si>
  <si>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</si>
  <si>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</si>
  <si>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</si>
  <si>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</si>
  <si>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</si>
  <si>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</si>
  <si>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</si>
  <si>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</si>
  <si>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</si>
  <si>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</si>
  <si>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</si>
  <si>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</si>
  <si>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</si>
  <si>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</si>
  <si>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</si>
  <si>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</si>
  <si>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</si>
  <si>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</si>
  <si>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</si>
  <si>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</si>
  <si>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</si>
  <si>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</si>
  <si>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</si>
  <si>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</si>
  <si>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</si>
  <si>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</si>
  <si>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</si>
  <si>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</si>
  <si>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</si>
  <si>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</si>
  <si>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</si>
  <si>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</si>
  <si>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</si>
  <si>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</si>
  <si>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</si>
  <si>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</si>
  <si>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</si>
  <si>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</si>
  <si>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</si>
  <si>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</si>
  <si>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</si>
  <si>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</si>
  <si>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</si>
  <si>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</si>
  <si>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</si>
  <si>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</si>
  <si>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</si>
  <si>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</si>
  <si>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</si>
  <si>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</si>
  <si>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</si>
  <si>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</si>
  <si>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</si>
  <si>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</si>
  <si>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</si>
  <si>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</si>
  <si>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</si>
  <si>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</si>
  <si>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</si>
  <si>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</si>
  <si>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</si>
  <si>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</si>
  <si>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</si>
  <si>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</si>
  <si>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</si>
  <si>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</si>
  <si>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</si>
  <si>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</si>
  <si>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</si>
  <si>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</si>
  <si>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</si>
  <si>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</si>
  <si>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</si>
  <si>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</si>
  <si>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</si>
  <si>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</si>
  <si>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</si>
  <si>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</si>
  <si>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</si>
  <si>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</si>
  <si>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</si>
  <si>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</si>
  <si>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</si>
  <si>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</si>
  <si>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</si>
  <si>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</si>
  <si>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</si>
  <si>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</si>
  <si>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</si>
  <si>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</si>
  <si>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</si>
  <si>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</si>
  <si>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</si>
  <si>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</si>
  <si>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</si>
  <si>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</si>
  <si>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</si>
  <si>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</si>
  <si>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</si>
  <si>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</si>
  <si>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</si>
  <si>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</si>
  <si>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</si>
  <si>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</si>
  <si>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</si>
  <si>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</si>
  <si>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</si>
  <si>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</si>
  <si>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</si>
  <si>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</si>
  <si>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</si>
  <si>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</si>
  <si>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</si>
  <si>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</si>
  <si>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</si>
  <si>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</si>
  <si>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</si>
  <si>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</si>
  <si>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</si>
  <si>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</si>
  <si>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</si>
  <si>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</si>
  <si>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</si>
  <si>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</si>
  <si>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</si>
  <si>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</si>
  <si>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</si>
  <si>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</si>
  <si>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</si>
  <si>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</si>
  <si>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</si>
  <si>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</si>
  <si>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</si>
  <si>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</si>
  <si>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</si>
  <si>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</si>
  <si>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</si>
  <si>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</si>
  <si>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</si>
  <si>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</si>
  <si>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</si>
  <si>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</si>
  <si>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</si>
  <si>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</si>
  <si>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</si>
  <si>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</si>
  <si>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</si>
  <si>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</si>
  <si>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</si>
  <si>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</si>
  <si>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</si>
  <si>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</si>
  <si>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</si>
  <si>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</si>
  <si>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</si>
  <si>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</si>
  <si>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</si>
  <si>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</si>
  <si>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</si>
  <si>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</si>
  <si>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</si>
  <si>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</si>
  <si>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</si>
  <si>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</si>
  <si>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</si>
  <si>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</si>
  <si>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</si>
  <si>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</si>
  <si>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</si>
  <si>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</si>
  <si>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</si>
  <si>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</si>
  <si>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</si>
  <si>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</si>
  <si>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</si>
  <si>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</si>
  <si>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</si>
  <si>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</si>
  <si>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</si>
  <si>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</si>
  <si>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</si>
  <si>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</si>
  <si>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</si>
  <si>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</si>
  <si>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</si>
  <si>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</si>
  <si>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</si>
  <si>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</si>
  <si>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</si>
  <si>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</si>
  <si>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</si>
  <si>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</si>
  <si>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</si>
  <si>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</si>
  <si>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</si>
  <si>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</si>
  <si>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</si>
  <si>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</si>
  <si>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</si>
  <si>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</si>
  <si>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</si>
  <si>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</si>
  <si>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</si>
  <si>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</si>
  <si>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</si>
  <si>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</si>
  <si>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</si>
  <si>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</si>
  <si>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</si>
  <si>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</si>
  <si>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</si>
  <si>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</si>
  <si>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</si>
  <si>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</si>
  <si>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</si>
  <si>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</si>
  <si>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</si>
  <si>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</si>
  <si>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</si>
  <si>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</si>
  <si>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</si>
  <si>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</si>
  <si>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</si>
  <si>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</si>
  <si>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</si>
  <si>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</si>
  <si>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</si>
  <si>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</si>
  <si>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</si>
  <si>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</si>
  <si>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</si>
  <si>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</si>
  <si>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</si>
  <si>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</si>
  <si>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</si>
  <si>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</si>
  <si>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</si>
  <si>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</si>
  <si>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</si>
  <si>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</si>
  <si>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</si>
  <si>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</si>
  <si>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</si>
  <si>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</si>
  <si>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</si>
  <si>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</si>
  <si>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</si>
  <si>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</si>
  <si>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</si>
  <si>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</si>
  <si>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</si>
  <si>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</si>
  <si>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</si>
  <si>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</si>
  <si>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</si>
  <si>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</si>
  <si>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</si>
  <si>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</si>
  <si>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</si>
  <si>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</si>
  <si>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</si>
  <si>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</si>
  <si>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</si>
  <si>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</si>
  <si>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</si>
  <si>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</si>
  <si>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</si>
  <si>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</si>
  <si>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</si>
  <si>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</si>
  <si>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</si>
  <si>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</si>
  <si>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</si>
  <si>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</si>
  <si>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</si>
  <si>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</si>
  <si>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</si>
  <si>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</si>
  <si>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</si>
  <si>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</si>
  <si>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</si>
  <si>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</si>
  <si>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</si>
  <si>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</si>
  <si>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</si>
  <si>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</si>
  <si>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</si>
  <si>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</si>
  <si>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</si>
  <si>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</si>
  <si>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</si>
  <si>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</si>
  <si>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</si>
  <si>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</si>
  <si>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</si>
  <si>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</si>
  <si>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</si>
  <si>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</si>
  <si>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</si>
  <si>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</si>
  <si>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</si>
  <si>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</si>
  <si>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</si>
  <si>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</si>
  <si>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</si>
  <si>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</si>
  <si>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</si>
  <si>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</si>
  <si>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</si>
  <si>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</si>
  <si>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</si>
  <si>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</si>
  <si>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</si>
  <si>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</si>
  <si>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</si>
  <si>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</si>
  <si>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</si>
  <si>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</si>
  <si>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</si>
  <si>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</si>
  <si>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</si>
  <si>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</si>
  <si>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</si>
  <si>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</si>
  <si>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</si>
  <si>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</si>
  <si>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</si>
  <si>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</si>
  <si>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</si>
  <si>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</si>
  <si>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</si>
  <si>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</si>
  <si>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</si>
  <si>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</si>
  <si>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</si>
  <si>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</si>
  <si>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</si>
  <si>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</si>
  <si>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</si>
  <si>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</si>
  <si>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</si>
  <si>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</si>
  <si>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</si>
  <si>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</si>
  <si>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</si>
  <si>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</si>
  <si>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</si>
  <si>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</si>
  <si>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</si>
  <si>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</si>
  <si>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</si>
  <si>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</si>
  <si>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</si>
  <si>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</si>
  <si>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</si>
  <si>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</si>
  <si>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</si>
  <si>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</si>
  <si>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</si>
  <si>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</si>
  <si>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</si>
  <si>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</si>
  <si>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</si>
  <si>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</si>
  <si>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</si>
  <si>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</si>
  <si>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</si>
  <si>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</si>
  <si>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</si>
  <si>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</si>
  <si>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</si>
  <si>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</si>
  <si>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</si>
  <si>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</si>
  <si>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</si>
  <si>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</si>
  <si>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</si>
  <si>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</si>
  <si>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</si>
  <si>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</si>
  <si>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</si>
  <si>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</si>
  <si>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</si>
  <si>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</si>
  <si>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</si>
  <si>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</si>
  <si>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</si>
  <si>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</si>
  <si>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</si>
  <si>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</si>
  <si>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</si>
  <si>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</si>
  <si>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</si>
  <si>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</si>
  <si>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</si>
  <si>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</si>
  <si>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</si>
  <si>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</si>
  <si>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</si>
  <si>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</si>
  <si>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</si>
  <si>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</si>
  <si>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</si>
  <si>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</si>
  <si>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</si>
  <si>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</si>
  <si>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</si>
  <si>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</si>
  <si>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</si>
  <si>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</si>
  <si>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</si>
  <si>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</si>
  <si>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</si>
  <si>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</si>
  <si>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</si>
  <si>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</si>
  <si>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</si>
  <si>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</si>
  <si>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</si>
  <si>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</si>
  <si>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</si>
  <si>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</si>
  <si>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</si>
  <si>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</si>
  <si>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</si>
  <si>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</si>
  <si>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</si>
  <si>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</si>
  <si>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</si>
  <si>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</si>
  <si>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</si>
  <si>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</si>
  <si>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</si>
  <si>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</si>
  <si>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</si>
  <si>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</si>
  <si>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</si>
  <si>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</si>
  <si>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</si>
  <si>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</si>
  <si>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</si>
  <si>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</si>
  <si>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</si>
  <si>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</si>
  <si>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</si>
  <si>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</si>
  <si>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</si>
  <si>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</si>
  <si>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</si>
  <si>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</si>
  <si>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</si>
  <si>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</si>
  <si>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</si>
  <si>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</si>
  <si>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</si>
  <si>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</si>
  <si>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</si>
  <si>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</si>
  <si>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</si>
  <si>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</si>
  <si>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</si>
  <si>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</si>
  <si>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</si>
  <si>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</si>
  <si>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</si>
  <si>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</si>
  <si>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</si>
  <si>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</si>
  <si>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</si>
  <si>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</si>
  <si>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</si>
  <si>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</si>
  <si>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</si>
  <si>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</si>
  <si>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</si>
  <si>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</si>
  <si>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</si>
  <si>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</si>
  <si>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</si>
  <si>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</si>
  <si>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</si>
  <si>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</si>
  <si>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</si>
  <si>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</si>
  <si>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</si>
  <si>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</si>
  <si>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</si>
  <si>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</si>
  <si>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</si>
  <si>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</si>
  <si>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</si>
  <si>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</si>
  <si>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</si>
  <si>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</si>
  <si>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</si>
  <si>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</si>
  <si>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</si>
  <si>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</si>
  <si>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</si>
  <si>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</si>
  <si>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</si>
  <si>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</si>
  <si>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</si>
  <si>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</si>
  <si>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</si>
  <si>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</si>
  <si>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</si>
  <si>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</si>
  <si>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</si>
  <si>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</si>
  <si>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</si>
  <si>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</si>
  <si>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</si>
  <si>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</si>
  <si>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</si>
  <si>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</si>
  <si>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</si>
  <si>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</si>
  <si>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</si>
  <si>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</si>
  <si>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</si>
  <si>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</si>
  <si>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</si>
  <si>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</si>
  <si>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</si>
  <si>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</si>
  <si>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</si>
  <si>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</si>
  <si>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</si>
  <si>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</si>
  <si>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</si>
  <si>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</si>
  <si>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</si>
  <si>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</si>
  <si>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</si>
  <si>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</si>
  <si>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</si>
  <si>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</si>
  <si>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</si>
  <si>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</si>
  <si>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</si>
  <si>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</si>
  <si>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</si>
  <si>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</si>
  <si>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</si>
  <si>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</si>
  <si>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</si>
  <si>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</si>
  <si>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</si>
  <si>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</si>
  <si>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</si>
  <si>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</si>
  <si>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</si>
  <si>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</si>
  <si>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</si>
  <si>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</si>
  <si>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</si>
  <si>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</si>
  <si>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</si>
  <si>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</si>
  <si>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</si>
  <si>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</si>
  <si>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</si>
  <si>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</si>
  <si>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</si>
  <si>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</si>
  <si>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</si>
  <si>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</si>
  <si>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</si>
  <si>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</si>
  <si>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</si>
  <si>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</si>
  <si>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</si>
  <si>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</si>
  <si>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</si>
  <si>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</si>
  <si>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</si>
  <si>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</si>
  <si>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</si>
  <si>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</si>
  <si>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</si>
  <si>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</si>
  <si>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</si>
  <si>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</si>
  <si>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</si>
  <si>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</si>
  <si>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</si>
  <si>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</si>
  <si>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</si>
  <si>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</si>
  <si>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</si>
  <si>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</si>
  <si>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</si>
  <si>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</si>
  <si>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</si>
  <si>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</si>
  <si>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</si>
  <si>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</si>
  <si>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</si>
  <si>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</si>
  <si>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</si>
  <si>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</si>
  <si>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</si>
  <si>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</si>
  <si>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</si>
  <si>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</si>
  <si>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</si>
  <si>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</si>
  <si>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</si>
  <si>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</si>
  <si>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</si>
  <si>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</si>
  <si>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</si>
  <si>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</si>
  <si>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</si>
  <si>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</si>
  <si>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</si>
  <si>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</si>
  <si>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</si>
  <si>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</si>
  <si>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</si>
  <si>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</si>
  <si>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</si>
  <si>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</si>
  <si>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</si>
  <si>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</si>
  <si>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</si>
  <si>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</si>
  <si>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</si>
  <si>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</si>
  <si>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</si>
  <si>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</si>
  <si>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</si>
  <si>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</si>
  <si>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</si>
  <si>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</si>
  <si>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</si>
  <si>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</si>
  <si>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</si>
  <si>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</si>
  <si>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</si>
  <si>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</si>
  <si>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</si>
  <si>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</si>
  <si>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</si>
  <si>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</si>
  <si>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</si>
  <si>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</si>
  <si>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</si>
  <si>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</si>
  <si>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</si>
  <si>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</si>
  <si>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</si>
  <si>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</si>
  <si>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</si>
  <si>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</si>
  <si>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</si>
  <si>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</si>
  <si>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</si>
  <si>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</si>
  <si>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</si>
  <si>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</si>
  <si>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</si>
  <si>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</si>
  <si>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</si>
  <si>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</si>
  <si>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</si>
  <si>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</si>
  <si>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</si>
  <si>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</si>
  <si>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</si>
  <si>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</si>
  <si>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</si>
  <si>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</si>
  <si>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</si>
  <si>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</si>
  <si>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</si>
  <si>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</si>
  <si>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</si>
  <si>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</si>
  <si>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</si>
  <si>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</si>
  <si>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</si>
  <si>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</si>
  <si>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</si>
  <si>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</si>
  <si>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</si>
  <si>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</si>
  <si>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</si>
  <si>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</si>
  <si>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</si>
  <si>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</si>
  <si>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</si>
  <si>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</si>
  <si>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</si>
  <si>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</si>
  <si>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</si>
  <si>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</si>
  <si>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</si>
  <si>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</si>
  <si>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</si>
  <si>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</si>
  <si>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</si>
  <si>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</si>
  <si>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</si>
  <si>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</si>
  <si>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</si>
  <si>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</si>
  <si>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</si>
  <si>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</si>
  <si>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</si>
  <si>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</si>
  <si>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</si>
  <si>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</si>
  <si>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</si>
  <si>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</si>
  <si>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</si>
  <si>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</si>
  <si>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</si>
  <si>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</si>
  <si>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</si>
  <si>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</si>
  <si>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</si>
  <si>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</si>
  <si>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</si>
  <si>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</si>
  <si>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</si>
  <si>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</si>
  <si>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</si>
  <si>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</si>
  <si>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</si>
  <si>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</si>
  <si>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</si>
  <si>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</si>
  <si>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</si>
  <si>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</si>
  <si>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</si>
  <si>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</si>
  <si>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</si>
  <si>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</si>
  <si>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</si>
  <si>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</si>
  <si>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</si>
  <si>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</si>
  <si>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</si>
  <si>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</si>
  <si>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</si>
  <si>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</si>
  <si>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</si>
  <si>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</si>
  <si>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</si>
  <si>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</si>
  <si>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</si>
  <si>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</si>
  <si>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</si>
  <si>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</si>
  <si>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</si>
  <si>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</si>
  <si>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</si>
  <si>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</si>
  <si>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</si>
  <si>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</si>
  <si>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</si>
  <si>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</si>
  <si>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</si>
  <si>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</si>
  <si>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</si>
  <si>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</si>
  <si>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</si>
  <si>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</si>
  <si>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</si>
  <si>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</si>
  <si>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</si>
  <si>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</si>
  <si>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</si>
  <si>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</si>
  <si>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</si>
  <si>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</si>
  <si>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</si>
  <si>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</si>
  <si>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</si>
  <si>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</si>
  <si>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</si>
  <si>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</si>
  <si>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</si>
  <si>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</si>
  <si>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</si>
  <si>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</si>
  <si>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</si>
  <si>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</si>
  <si>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</si>
  <si>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</si>
  <si>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</si>
  <si>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</si>
  <si>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</si>
  <si>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</si>
  <si>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</si>
  <si>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</si>
  <si>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</si>
  <si>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</si>
  <si>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</si>
  <si>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</si>
  <si>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</si>
  <si>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</si>
  <si>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</si>
  <si>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</si>
  <si>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</si>
  <si>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</si>
  <si>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</si>
  <si>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</si>
  <si>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</si>
  <si>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</si>
  <si>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</si>
  <si>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</si>
  <si>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</si>
  <si>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</si>
  <si>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</si>
  <si>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</si>
  <si>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</si>
  <si>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</si>
  <si>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</si>
  <si>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</si>
  <si>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</si>
  <si>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</si>
  <si>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</si>
  <si>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</si>
  <si>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</si>
  <si>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</si>
  <si>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</si>
  <si>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</si>
  <si>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</si>
  <si>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</si>
  <si>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</si>
  <si>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</si>
  <si>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</si>
  <si>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</si>
  <si>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</si>
  <si>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</si>
  <si>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</si>
  <si>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</si>
  <si>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</si>
  <si>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</si>
  <si>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</si>
  <si>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</si>
  <si>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</si>
  <si>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</si>
  <si>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</si>
  <si>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</si>
  <si>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</si>
  <si>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</si>
  <si>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</si>
  <si>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</si>
  <si>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</si>
  <si>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</si>
  <si>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</si>
  <si>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</si>
  <si>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</si>
  <si>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</si>
  <si>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</si>
  <si>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</si>
  <si>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</si>
  <si>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</si>
  <si>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</si>
  <si>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</si>
  <si>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</si>
  <si>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</si>
  <si>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</si>
  <si>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</si>
  <si>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</si>
  <si>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</si>
  <si>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</si>
  <si>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</si>
  <si>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</si>
  <si>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</si>
  <si>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</si>
  <si>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</si>
  <si>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</si>
  <si>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</si>
  <si>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</si>
  <si>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</si>
  <si>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</si>
  <si>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</si>
  <si>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</si>
  <si>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</si>
  <si>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</si>
  <si>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</si>
  <si>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</si>
  <si>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</si>
  <si>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</si>
  <si>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</si>
  <si>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</si>
  <si>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</si>
  <si>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</si>
  <si>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</si>
  <si>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</si>
  <si>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</si>
  <si>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</si>
  <si>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</si>
  <si>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</si>
  <si>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</si>
  <si>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</si>
  <si>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</si>
  <si>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</si>
  <si>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</si>
  <si>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</si>
  <si>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</si>
  <si>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</si>
  <si>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</si>
  <si>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</si>
  <si>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</si>
  <si>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</si>
  <si>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</si>
  <si>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</si>
  <si>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</si>
  <si>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</si>
  <si>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</si>
  <si>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</si>
  <si>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</si>
  <si>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</si>
  <si>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</si>
  <si>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</si>
  <si>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</si>
  <si>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</si>
  <si>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</si>
  <si>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</si>
  <si>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</si>
  <si>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</si>
  <si>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</si>
  <si>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</si>
  <si>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</si>
  <si>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</si>
  <si>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</si>
  <si>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</si>
  <si>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</si>
  <si>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</si>
  <si>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</si>
  <si>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</si>
  <si>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</si>
  <si>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</si>
  <si>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</si>
  <si>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</si>
  <si>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</si>
  <si>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</si>
  <si>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</si>
  <si>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</si>
  <si>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</si>
  <si>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</si>
  <si>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</si>
  <si>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</si>
  <si>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</si>
  <si>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</si>
  <si>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</si>
  <si>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</si>
  <si>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</si>
  <si>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</si>
  <si>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</si>
  <si>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</si>
  <si>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</si>
  <si>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</si>
  <si>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</si>
  <si>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</si>
  <si>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</si>
  <si>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</si>
  <si>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</si>
  <si>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</si>
  <si>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</si>
  <si>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</si>
  <si>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</si>
  <si>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</si>
  <si>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</si>
  <si>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</si>
  <si>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</si>
  <si>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</si>
  <si>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</si>
  <si>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</si>
  <si>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</si>
  <si>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</si>
  <si>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</si>
  <si>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</si>
  <si>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</si>
  <si>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</si>
  <si>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</si>
  <si>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</si>
  <si>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</si>
  <si>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</si>
  <si>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</si>
  <si>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</si>
  <si>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</si>
  <si>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</si>
  <si>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</si>
  <si>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</si>
  <si>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</si>
  <si>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</si>
  <si>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</si>
  <si>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</si>
  <si>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</si>
  <si>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</si>
  <si>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</si>
  <si>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</si>
  <si>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</si>
  <si>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</si>
  <si>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</si>
  <si>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</si>
  <si>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</si>
  <si>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</si>
  <si>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</si>
  <si>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</si>
  <si>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</si>
  <si>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</si>
  <si>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</si>
  <si>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</si>
  <si>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</si>
  <si>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</si>
  <si>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</si>
  <si>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</si>
  <si>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</si>
  <si>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</si>
  <si>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</si>
  <si>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</si>
  <si>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</si>
  <si>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</si>
  <si>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</si>
  <si>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</si>
  <si>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</si>
  <si>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</si>
  <si>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</si>
  <si>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</si>
  <si>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</si>
  <si>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</si>
  <si>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</si>
  <si>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</si>
  <si>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</si>
  <si>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</si>
  <si>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</si>
  <si>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</si>
  <si>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</si>
  <si>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</si>
  <si>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</si>
  <si>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</si>
  <si>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</si>
  <si>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</si>
  <si>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</si>
  <si>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</si>
  <si>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</si>
  <si>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</si>
  <si>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</si>
  <si>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</si>
  <si>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</si>
  <si>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</si>
  <si>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</si>
  <si>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</si>
  <si>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</si>
  <si>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</si>
  <si>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</si>
  <si>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</si>
  <si>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</si>
  <si>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</si>
  <si>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</si>
  <si>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</si>
  <si>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</si>
  <si>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</si>
  <si>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</si>
  <si>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</si>
  <si>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</si>
  <si>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</si>
  <si>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</si>
  <si>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</si>
  <si>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</si>
  <si>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</si>
  <si>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</si>
  <si>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</si>
  <si>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</si>
  <si>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</si>
  <si>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</si>
  <si>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</si>
  <si>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</si>
  <si>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</si>
  <si>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</si>
  <si>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</si>
  <si>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</si>
  <si>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</si>
  <si>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</si>
  <si>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</si>
  <si>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</si>
  <si>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</si>
  <si>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</si>
  <si>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</si>
  <si>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</si>
  <si>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</si>
  <si>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</si>
  <si>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</si>
  <si>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</si>
  <si>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</si>
  <si>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</si>
  <si>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</si>
  <si>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</si>
  <si>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</si>
  <si>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</si>
  <si>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</si>
  <si>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</si>
  <si>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</si>
  <si>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</si>
  <si>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</si>
  <si>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</si>
  <si>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</si>
  <si>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</si>
  <si>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</si>
  <si>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</si>
  <si>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</si>
  <si>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</si>
  <si>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</si>
  <si>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</si>
  <si>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</si>
  <si>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</si>
  <si>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</si>
  <si>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</si>
  <si>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</si>
  <si>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</si>
  <si>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</si>
  <si>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</si>
  <si>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</si>
  <si>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</si>
  <si>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</si>
  <si>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</si>
  <si>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</si>
  <si>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</si>
  <si>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</si>
  <si>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</si>
  <si>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</si>
  <si>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</si>
  <si>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</si>
  <si>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</si>
  <si>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</si>
  <si>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</si>
  <si>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</si>
  <si>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</si>
  <si>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</si>
  <si>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</si>
  <si>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</si>
  <si>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</si>
  <si>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</si>
  <si>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</si>
  <si>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</si>
  <si>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</si>
  <si>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</si>
  <si>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</si>
  <si>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</si>
  <si>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</si>
  <si>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</si>
  <si>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</si>
  <si>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</si>
  <si>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</si>
  <si>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</si>
  <si>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</si>
  <si>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</si>
  <si>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</si>
  <si>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</si>
  <si>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</si>
  <si>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</si>
  <si>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</si>
  <si>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</si>
  <si>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</si>
  <si>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</si>
  <si>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</si>
  <si>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</si>
  <si>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</si>
  <si>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</si>
  <si>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</si>
  <si>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</si>
  <si>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</si>
  <si>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</si>
  <si>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</si>
  <si>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</si>
  <si>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</si>
  <si>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</si>
  <si>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</si>
  <si>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</si>
  <si>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</si>
  <si>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</si>
  <si>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</si>
  <si>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</si>
  <si>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</si>
  <si>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</si>
  <si>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</si>
  <si>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</si>
  <si>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</si>
  <si>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</si>
  <si>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</si>
  <si>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</si>
  <si>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</si>
  <si>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</si>
  <si>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</si>
  <si>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</si>
  <si>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</si>
  <si>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</si>
  <si>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</si>
  <si>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</si>
  <si>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</si>
  <si>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</si>
  <si>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</si>
  <si>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</si>
  <si>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</si>
  <si>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</si>
  <si>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</si>
  <si>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</si>
  <si>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</si>
  <si>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</si>
  <si>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</si>
  <si>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</si>
  <si>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</si>
  <si>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</si>
  <si>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</si>
  <si>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</si>
  <si>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</si>
  <si>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</si>
  <si>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</si>
  <si>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</si>
  <si>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</si>
  <si>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</si>
  <si>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</si>
  <si>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</si>
  <si>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</si>
  <si>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</si>
  <si>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</si>
  <si>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</si>
  <si>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</si>
  <si>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</si>
  <si>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</si>
  <si>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</si>
  <si>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</si>
  <si>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</si>
  <si>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</si>
  <si>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</si>
  <si>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</si>
  <si>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</si>
  <si>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</si>
  <si>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</si>
  <si>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</si>
  <si>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</si>
  <si>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</si>
  <si>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</si>
  <si>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</si>
  <si>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</si>
  <si>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</si>
  <si>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</si>
  <si>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</si>
  <si>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</si>
  <si>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</si>
  <si>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</si>
  <si>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</si>
  <si>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</si>
  <si>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</si>
  <si>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</si>
  <si>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</si>
  <si>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</si>
  <si>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</si>
  <si>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</si>
  <si>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</si>
  <si>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</si>
  <si>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</si>
  <si>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</si>
  <si>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</si>
  <si>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</si>
  <si>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</si>
  <si>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</si>
  <si>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</si>
  <si>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</si>
  <si>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</si>
  <si>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</si>
  <si>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</si>
  <si>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</si>
  <si>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</si>
  <si>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</si>
  <si>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</si>
  <si>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</si>
  <si>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</si>
  <si>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</si>
  <si>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</si>
  <si>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</si>
  <si>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</si>
  <si>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</si>
  <si>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</si>
  <si>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</si>
  <si>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</si>
  <si>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</si>
  <si>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</si>
  <si>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</si>
  <si>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</si>
  <si>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</si>
  <si>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</si>
  <si>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</si>
  <si>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</si>
  <si>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</si>
  <si>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</si>
  <si>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</si>
  <si>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</si>
  <si>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</si>
  <si>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</si>
  <si>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</si>
  <si>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</si>
  <si>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</si>
  <si>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</si>
  <si>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</si>
  <si>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</si>
  <si>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</si>
  <si>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</si>
  <si>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</si>
  <si>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</si>
  <si>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</si>
  <si>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</si>
  <si>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</si>
  <si>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</si>
  <si>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</si>
  <si>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</si>
  <si>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</si>
  <si>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</si>
  <si>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</si>
  <si>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</si>
  <si>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</si>
  <si>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</si>
  <si>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</si>
  <si>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</si>
  <si>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</si>
  <si>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</si>
  <si>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</si>
  <si>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</si>
  <si>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</si>
  <si>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</si>
  <si>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</si>
  <si>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</si>
  <si>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</si>
  <si>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</si>
  <si>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</si>
  <si>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</si>
  <si>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</si>
  <si>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</si>
  <si>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</si>
  <si>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</si>
  <si>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</si>
  <si>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</si>
  <si>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</si>
  <si>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</si>
  <si>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</si>
  <si>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</si>
  <si>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</si>
  <si>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</si>
  <si>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</si>
  <si>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</si>
  <si>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</si>
  <si>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</si>
  <si>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</si>
  <si>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</si>
  <si>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</si>
  <si>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</si>
  <si>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</si>
  <si>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</si>
  <si>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</si>
  <si>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</si>
  <si>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</si>
  <si>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</si>
  <si>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</si>
  <si>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</si>
  <si>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</si>
  <si>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</si>
  <si>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</si>
  <si>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</si>
  <si>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</si>
  <si>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</si>
  <si>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</si>
  <si>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</si>
  <si>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</si>
  <si>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</si>
  <si>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</si>
  <si>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</si>
  <si>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</si>
  <si>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</si>
  <si>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</si>
  <si>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</si>
  <si>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</si>
  <si>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</si>
  <si>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</si>
  <si>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</si>
  <si>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</si>
  <si>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</si>
  <si>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</si>
  <si>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</si>
  <si>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</si>
  <si>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</si>
  <si>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</si>
  <si>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</si>
  <si>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</si>
  <si>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</si>
  <si>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</si>
  <si>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</si>
  <si>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</si>
  <si>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</si>
  <si>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</si>
  <si>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</si>
  <si>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</si>
  <si>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</si>
  <si>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</si>
  <si>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</si>
  <si>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</si>
  <si>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</si>
  <si>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</si>
  <si>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</si>
  <si>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</si>
  <si>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</si>
  <si>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</si>
  <si>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</si>
  <si>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</si>
  <si>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</si>
  <si>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</si>
  <si>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</si>
  <si>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</si>
  <si>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</si>
  <si>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</si>
  <si>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</si>
  <si>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</si>
  <si>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</si>
  <si>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</si>
  <si>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</si>
  <si>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</si>
  <si>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</si>
  <si>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</si>
  <si>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</si>
  <si>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</si>
  <si>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</si>
  <si>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</si>
  <si>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</si>
  <si>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</si>
  <si>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</si>
  <si>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</si>
  <si>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</si>
  <si>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</si>
  <si>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</si>
  <si>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</si>
  <si>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</si>
  <si>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</si>
  <si>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</si>
  <si>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</si>
  <si>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</si>
  <si>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</si>
  <si>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</si>
  <si>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</si>
  <si>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</si>
  <si>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</si>
  <si>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</si>
  <si>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</si>
  <si>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</si>
  <si>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</si>
  <si>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</si>
  <si>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</si>
  <si>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</si>
  <si>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</si>
  <si>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</si>
  <si>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</si>
  <si>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</si>
  <si>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</si>
  <si>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</si>
  <si>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</si>
  <si>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</si>
  <si>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</si>
  <si>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</si>
  <si>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</si>
  <si>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</si>
  <si>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</si>
  <si>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</si>
  <si>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</si>
  <si>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</si>
  <si>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</si>
  <si>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</si>
  <si>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</si>
  <si>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</si>
  <si>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</si>
  <si>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</si>
  <si>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</si>
  <si>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</si>
  <si>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</si>
  <si>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</si>
  <si>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</si>
  <si>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</si>
  <si>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</si>
  <si>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</si>
  <si>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</si>
  <si>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</si>
  <si>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</si>
  <si>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</si>
  <si>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</si>
  <si>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</si>
  <si>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</si>
  <si>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</si>
  <si>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</si>
  <si>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</si>
  <si>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</si>
  <si>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</si>
  <si>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</si>
  <si>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</si>
  <si>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</si>
  <si>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</si>
  <si>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</si>
  <si>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</si>
  <si>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</si>
  <si>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</si>
  <si>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</si>
  <si>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</si>
  <si>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</si>
  <si>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</si>
  <si>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</si>
  <si>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</si>
  <si>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</si>
  <si>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</si>
  <si>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</si>
  <si>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</si>
  <si>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</si>
  <si>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</si>
  <si>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</si>
  <si>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</si>
  <si>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</si>
  <si>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</si>
  <si>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</si>
  <si>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</si>
  <si>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</si>
  <si>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</si>
  <si>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</si>
  <si>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</si>
  <si>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</si>
  <si>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</si>
  <si>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</si>
  <si>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</si>
  <si>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</si>
  <si>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</si>
  <si>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</si>
  <si>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</si>
  <si>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</si>
  <si>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</si>
  <si>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</si>
  <si>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</si>
  <si>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</si>
  <si>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</si>
  <si>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</si>
  <si>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</si>
  <si>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</si>
  <si>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</si>
  <si>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</si>
  <si>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</si>
  <si>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</si>
  <si>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</si>
  <si>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</si>
  <si>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</si>
  <si>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</si>
  <si>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</si>
  <si>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</si>
  <si>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</si>
  <si>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</si>
  <si>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</si>
  <si>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</si>
  <si>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</si>
  <si>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</si>
  <si>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</si>
  <si>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</si>
  <si>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</si>
  <si>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</si>
  <si>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</si>
  <si>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</si>
  <si>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</si>
  <si>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</si>
  <si>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</si>
  <si>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</si>
  <si>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</si>
  <si>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</si>
  <si>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</si>
  <si>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</si>
  <si>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</si>
  <si>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</si>
  <si>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</si>
  <si>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</si>
  <si>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</si>
  <si>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</si>
  <si>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</si>
  <si>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</si>
  <si>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</si>
  <si>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</si>
  <si>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</si>
  <si>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</si>
  <si>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</si>
  <si>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</si>
  <si>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</si>
  <si>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</si>
  <si>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</si>
  <si>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</si>
  <si>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</si>
  <si>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</si>
  <si>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</si>
  <si>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</si>
  <si>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</si>
  <si>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</si>
  <si>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</si>
  <si>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</si>
  <si>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</si>
  <si>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</si>
  <si>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</si>
  <si>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</si>
  <si>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</si>
  <si>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</si>
  <si>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</si>
  <si>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</si>
  <si>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</si>
  <si>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</si>
  <si>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</si>
  <si>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</si>
  <si>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</si>
  <si>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</si>
  <si>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</si>
  <si>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</si>
  <si>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</si>
  <si>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</si>
  <si>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</si>
  <si>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</si>
  <si>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</si>
  <si>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</si>
  <si>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</si>
  <si>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</si>
  <si>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</si>
  <si>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</si>
  <si>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</si>
  <si>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</si>
  <si>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</si>
  <si>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</si>
  <si>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</si>
  <si>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</si>
  <si>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</si>
  <si>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</si>
  <si>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</si>
  <si>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</si>
  <si>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</si>
  <si>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</si>
  <si>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</si>
  <si>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</si>
  <si>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</si>
  <si>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</si>
  <si>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</si>
  <si>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</si>
  <si>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</si>
  <si>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</si>
  <si>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</si>
  <si>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</si>
  <si>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</si>
  <si>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</si>
  <si>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</si>
  <si>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</si>
  <si>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</si>
  <si>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</si>
  <si>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</si>
  <si>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</si>
  <si>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</si>
  <si>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</si>
  <si>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</si>
  <si>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</si>
  <si>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</si>
  <si>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</si>
  <si>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</si>
  <si>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</si>
  <si>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</si>
  <si>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</si>
  <si>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</si>
  <si>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</si>
  <si>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</si>
  <si>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</si>
  <si>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</si>
  <si>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</si>
  <si>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</si>
  <si>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</si>
  <si>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</si>
  <si>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</si>
  <si>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</si>
  <si>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</si>
  <si>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</si>
  <si>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</si>
  <si>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</si>
  <si>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</si>
  <si>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</si>
  <si>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</si>
  <si>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</si>
  <si>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</si>
  <si>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</si>
  <si>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</si>
  <si>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</si>
  <si>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</si>
  <si>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</si>
  <si>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</si>
  <si>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</si>
  <si>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</si>
  <si>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</si>
  <si>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</si>
  <si>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</si>
  <si>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</si>
  <si>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</si>
  <si>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</si>
  <si>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</si>
  <si>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</si>
  <si>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</si>
  <si>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</si>
  <si>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</si>
  <si>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</si>
  <si>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</si>
  <si>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</si>
  <si>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</si>
  <si>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</si>
  <si>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</si>
  <si>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</si>
  <si>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</si>
  <si>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</si>
  <si>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</si>
  <si>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</si>
  <si>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</si>
  <si>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</si>
  <si>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</si>
  <si>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</si>
  <si>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</si>
  <si>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</si>
  <si>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</si>
  <si>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</si>
  <si>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</si>
  <si>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</si>
  <si>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</si>
  <si>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</si>
  <si>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</si>
  <si>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</si>
  <si>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</si>
  <si>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</si>
  <si>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</si>
  <si>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</si>
  <si>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</si>
  <si>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</si>
  <si>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</si>
  <si>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</si>
  <si>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</si>
  <si>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</si>
  <si>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</si>
  <si>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</si>
  <si>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</si>
  <si>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</si>
  <si>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</si>
  <si>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</si>
  <si>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</si>
  <si>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</si>
  <si>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</si>
  <si>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</si>
  <si>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</si>
  <si>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</si>
  <si>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</si>
  <si>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</si>
  <si>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</si>
  <si>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</si>
  <si>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</si>
  <si>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</si>
  <si>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</si>
  <si>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</si>
  <si>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</si>
  <si>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</si>
  <si>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</si>
  <si>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</si>
  <si>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</si>
  <si>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</si>
  <si>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</si>
  <si>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</si>
  <si>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</si>
  <si>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</si>
  <si>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</si>
  <si>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</si>
  <si>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</si>
  <si>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</si>
  <si>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</si>
  <si>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</si>
  <si>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</si>
  <si>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</si>
  <si>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</si>
  <si>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</si>
  <si>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</si>
  <si>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</si>
  <si>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</si>
  <si>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</si>
  <si>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</si>
  <si>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</si>
  <si>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</si>
  <si>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</si>
  <si>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</si>
  <si>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</si>
  <si>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</si>
  <si>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</si>
  <si>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</si>
  <si>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</si>
  <si>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</si>
  <si>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</si>
  <si>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</si>
  <si>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</si>
  <si>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</si>
  <si>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</si>
  <si>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</si>
  <si>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</si>
  <si>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</si>
  <si>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</si>
  <si>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</si>
  <si>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</si>
  <si>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</si>
  <si>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</si>
  <si>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</si>
  <si>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</si>
  <si>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</si>
  <si>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</si>
  <si>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</si>
  <si>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</si>
  <si>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</si>
  <si>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</si>
  <si>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</si>
  <si>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</si>
  <si>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</si>
  <si>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</si>
  <si>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</si>
  <si>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</si>
  <si>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</si>
  <si>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</si>
  <si>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</si>
  <si>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</si>
  <si>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</si>
  <si>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</si>
  <si>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</si>
  <si>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</si>
  <si>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</si>
  <si>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</si>
  <si>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</si>
  <si>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</si>
  <si>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</si>
  <si>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</si>
  <si>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</si>
  <si>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</si>
  <si>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</si>
  <si>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</si>
  <si>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</si>
  <si>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</si>
  <si>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</si>
  <si>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</si>
  <si>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</si>
  <si>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</si>
  <si>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</si>
  <si>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</si>
  <si>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</si>
  <si>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</si>
  <si>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</si>
  <si>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</si>
  <si>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</si>
  <si>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</si>
  <si>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</si>
  <si>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</si>
  <si>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</si>
  <si>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</si>
  <si>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</si>
  <si>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</si>
  <si>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</si>
  <si>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</si>
  <si>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</si>
  <si>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</si>
  <si>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</si>
  <si>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</si>
  <si>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</si>
  <si>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</si>
  <si>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</si>
  <si>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</si>
  <si>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</si>
  <si>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</si>
  <si>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</si>
  <si>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</si>
  <si>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</si>
  <si>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</si>
  <si>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</si>
  <si>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</si>
  <si>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</si>
  <si>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</si>
  <si>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</si>
  <si>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</si>
  <si>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</si>
  <si>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</si>
  <si>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</si>
  <si>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</si>
  <si>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</si>
  <si>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</si>
  <si>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</si>
  <si>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</si>
  <si>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</si>
  <si>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</si>
  <si>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</si>
  <si>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</si>
  <si>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</si>
  <si>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</si>
  <si>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</si>
  <si>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</si>
  <si>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</si>
  <si>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</si>
  <si>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</si>
  <si>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</si>
  <si>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</si>
  <si>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</si>
  <si>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</si>
  <si>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</si>
  <si>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</si>
  <si>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</si>
  <si>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</si>
  <si>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</si>
  <si>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</si>
  <si>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</si>
  <si>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</si>
  <si>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</si>
  <si>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</si>
  <si>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</si>
  <si>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</si>
  <si>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</si>
  <si>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</si>
  <si>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</si>
  <si>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</si>
  <si>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</si>
  <si>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</si>
  <si>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</si>
  <si>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</si>
  <si>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</si>
  <si>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</si>
  <si>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</si>
  <si>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</si>
  <si>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</si>
  <si>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</si>
  <si>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</si>
  <si>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</si>
  <si>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</si>
  <si>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</si>
  <si>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</si>
  <si>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</si>
  <si>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</si>
  <si>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</si>
  <si>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</si>
  <si>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</si>
  <si>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</si>
  <si>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</si>
  <si>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</si>
  <si>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</si>
  <si>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</si>
  <si>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</si>
  <si>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</si>
  <si>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</si>
  <si>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</si>
  <si>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</si>
  <si>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</si>
  <si>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</si>
  <si>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</si>
  <si>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</si>
  <si>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</si>
  <si>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</si>
  <si>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</si>
  <si>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</si>
  <si>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</si>
  <si>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</si>
  <si>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</si>
  <si>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</si>
  <si>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</si>
  <si>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</si>
  <si>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</si>
  <si>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</si>
  <si>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</si>
  <si>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</si>
  <si>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</si>
  <si>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</si>
  <si>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</si>
  <si>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</si>
  <si>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</si>
  <si>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</si>
  <si>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</si>
  <si>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</si>
  <si>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</si>
  <si>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</si>
  <si>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</si>
  <si>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</si>
  <si>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</si>
  <si>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</si>
  <si>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</si>
  <si>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</si>
  <si>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</si>
  <si>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</si>
  <si>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</si>
  <si>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</si>
  <si>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</si>
  <si>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</si>
  <si>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</si>
  <si>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</si>
  <si>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</si>
  <si>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</si>
  <si>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</si>
  <si>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</si>
  <si>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</si>
  <si>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</si>
  <si>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</si>
  <si>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</si>
  <si>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</si>
  <si>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</si>
  <si>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</si>
  <si>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</si>
  <si>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</si>
  <si>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</si>
  <si>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</si>
  <si>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</si>
  <si>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</si>
  <si>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</si>
  <si>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</si>
  <si>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</si>
  <si>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</si>
  <si>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</si>
  <si>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</si>
  <si>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</si>
  <si>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</si>
  <si>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</si>
  <si>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</si>
  <si>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</si>
  <si>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</si>
  <si>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</si>
  <si>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</si>
  <si>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</si>
  <si>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</si>
  <si>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</si>
  <si>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</si>
  <si>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</si>
  <si>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</si>
  <si>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</si>
  <si>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</si>
  <si>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</si>
  <si>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</si>
  <si>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</si>
  <si>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</si>
  <si>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</si>
  <si>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</si>
  <si>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</si>
  <si>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</si>
  <si>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</si>
  <si>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</si>
  <si>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</si>
  <si>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</si>
  <si>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</si>
  <si>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</si>
  <si>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</si>
  <si>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</si>
  <si>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</si>
  <si>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</si>
  <si>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</si>
  <si>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</si>
  <si>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</si>
  <si>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</si>
  <si>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</si>
  <si>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</si>
  <si>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</si>
  <si>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</si>
  <si>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</si>
  <si>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</si>
  <si>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</si>
  <si>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</si>
  <si>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</si>
  <si>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</si>
  <si>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</si>
  <si>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</si>
  <si>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</si>
  <si>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</si>
  <si>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</si>
  <si>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</si>
  <si>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</si>
  <si>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</si>
  <si>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</si>
  <si>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</si>
  <si>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</si>
  <si>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</si>
  <si>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</si>
  <si>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</si>
  <si>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</si>
  <si>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</si>
  <si>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</si>
  <si>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</si>
  <si>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</si>
  <si>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</si>
  <si>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</si>
  <si>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</si>
  <si>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</si>
  <si>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</si>
  <si>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</si>
  <si>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</si>
  <si>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</si>
  <si>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</si>
  <si>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</si>
  <si>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</si>
  <si>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</si>
  <si>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</si>
  <si>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</si>
  <si>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</si>
  <si>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</si>
  <si>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</si>
  <si>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</si>
  <si>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</si>
  <si>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</si>
  <si>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</si>
  <si>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</si>
  <si>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</si>
  <si>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</si>
  <si>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</si>
  <si>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</si>
  <si>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</si>
  <si>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</si>
  <si>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</si>
  <si>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</si>
  <si>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</si>
  <si>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</si>
  <si>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</si>
  <si>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</si>
  <si>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</si>
  <si>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</si>
  <si>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</si>
  <si>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</si>
  <si>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</si>
  <si>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</si>
  <si>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</si>
  <si>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</si>
  <si>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</si>
  <si>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</si>
  <si>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</si>
  <si>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</si>
  <si>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</si>
  <si>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</si>
  <si>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</si>
  <si>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</si>
  <si>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</si>
  <si>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</si>
  <si>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</si>
  <si>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</si>
  <si>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</si>
  <si>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</si>
  <si>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</si>
  <si>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</si>
  <si>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</si>
  <si>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</si>
  <si>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</si>
  <si>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</si>
  <si>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</si>
  <si>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</si>
  <si>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</si>
  <si>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</si>
  <si>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</si>
  <si>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</si>
  <si>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</si>
  <si>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</si>
  <si>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</si>
  <si>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</si>
  <si>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</si>
  <si>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</si>
  <si>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</si>
  <si>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</si>
  <si>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</si>
  <si>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</si>
  <si>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</si>
  <si>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</si>
  <si>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</si>
  <si>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</si>
  <si>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</si>
  <si>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</si>
  <si>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</si>
  <si>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</si>
  <si>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</si>
  <si>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</si>
  <si>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</si>
  <si>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</si>
  <si>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</si>
  <si>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</si>
  <si>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</si>
  <si>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</si>
  <si>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</si>
  <si>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</si>
  <si>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</si>
  <si>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</si>
  <si>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</si>
  <si>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</si>
  <si>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</si>
  <si>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</si>
  <si>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</si>
  <si>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</si>
  <si>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</si>
  <si>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</si>
  <si>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</si>
  <si>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</si>
  <si>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</si>
  <si>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</si>
  <si>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</si>
  <si>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</si>
  <si>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</si>
  <si>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</si>
  <si>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</si>
  <si>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</si>
  <si>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</si>
  <si>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</si>
  <si>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</si>
  <si>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</si>
  <si>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</si>
  <si>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</si>
  <si>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</si>
  <si>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</si>
  <si>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</si>
  <si>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</si>
  <si>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</si>
  <si>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</si>
  <si>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</si>
  <si>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</si>
  <si>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</si>
  <si>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</si>
  <si>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</si>
  <si>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</si>
  <si>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</si>
  <si>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</si>
  <si>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</si>
  <si>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</si>
  <si>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</si>
  <si>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</si>
  <si>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</si>
  <si>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</si>
  <si>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</si>
  <si>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</si>
  <si>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</si>
  <si>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</si>
  <si>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</si>
  <si>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</si>
  <si>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</si>
  <si>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</si>
  <si>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</si>
  <si>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</si>
  <si>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</si>
  <si>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</si>
  <si>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</si>
  <si>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</si>
  <si>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</si>
  <si>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</si>
  <si>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</si>
  <si>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</si>
  <si>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</si>
  <si>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</si>
  <si>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</si>
  <si>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</si>
  <si>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</si>
  <si>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</si>
  <si>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</si>
  <si>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</si>
  <si>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</si>
  <si>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</si>
  <si>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</si>
  <si>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</si>
  <si>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</si>
  <si>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</si>
  <si>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</si>
  <si>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</si>
  <si>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</si>
  <si>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</si>
  <si>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</si>
  <si>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</si>
  <si>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</si>
  <si>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</si>
  <si>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</si>
  <si>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</si>
  <si>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</si>
  <si>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</si>
  <si>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</si>
  <si>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</si>
  <si>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</si>
  <si>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</si>
  <si>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</si>
  <si>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</si>
  <si>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</si>
  <si>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</si>
  <si>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</si>
  <si>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</si>
  <si>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</si>
  <si>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</si>
  <si>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</si>
  <si>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</si>
  <si>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</si>
  <si>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</si>
  <si>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</si>
  <si>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</si>
  <si>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</si>
  <si>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</si>
  <si>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</si>
  <si>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</si>
  <si>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</si>
  <si>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</si>
  <si>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</si>
  <si>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</si>
  <si>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</si>
  <si>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</si>
  <si>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</si>
  <si>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</si>
  <si>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</si>
  <si>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</si>
  <si>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</si>
  <si>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</si>
  <si>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</si>
  <si>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</si>
  <si>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</si>
  <si>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</si>
  <si>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</si>
  <si>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</si>
  <si>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</si>
  <si>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</si>
  <si>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</si>
  <si>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</si>
  <si>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</si>
  <si>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</si>
  <si>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</si>
  <si>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</si>
  <si>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</si>
  <si>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</si>
  <si>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</si>
  <si>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</si>
  <si>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</si>
  <si>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</si>
  <si>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</si>
  <si>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</si>
  <si>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</si>
  <si>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</si>
  <si>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</si>
  <si>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</si>
  <si>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</si>
  <si>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</si>
  <si>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</si>
  <si>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</si>
  <si>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</si>
  <si>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</si>
  <si>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</si>
  <si>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</si>
  <si>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</si>
  <si>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</si>
  <si>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</si>
  <si>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</si>
  <si>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</si>
  <si>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</si>
  <si>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</si>
  <si>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</si>
  <si>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</si>
  <si>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</si>
  <si>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</si>
  <si>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</si>
  <si>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</si>
  <si>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</si>
  <si>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</si>
  <si>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</si>
  <si>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</si>
  <si>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</si>
  <si>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</si>
  <si>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</si>
  <si>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</si>
  <si>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</si>
  <si>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</si>
  <si>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</si>
  <si>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</si>
  <si>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</si>
  <si>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</si>
  <si>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</si>
  <si>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</si>
  <si>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</si>
  <si>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</si>
  <si>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</si>
  <si>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</si>
  <si>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</si>
  <si>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</si>
  <si>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</si>
  <si>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</si>
  <si>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</si>
  <si>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</si>
  <si>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</si>
  <si>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</si>
  <si>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</si>
  <si>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</si>
  <si>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</si>
  <si>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</si>
  <si>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</si>
  <si>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</si>
  <si>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</si>
  <si>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</si>
  <si>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</si>
  <si>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</si>
  <si>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</si>
  <si>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</si>
  <si>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</si>
  <si>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</si>
  <si>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</si>
  <si>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</si>
  <si>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</si>
  <si>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</si>
  <si>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</si>
  <si>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</si>
  <si>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</si>
  <si>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</si>
  <si>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</si>
  <si>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</si>
  <si>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</si>
  <si>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</si>
  <si>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</si>
  <si>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</si>
  <si>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</si>
  <si>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</si>
  <si>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</si>
  <si>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</si>
  <si>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</si>
  <si>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</si>
  <si>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</si>
  <si>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</si>
  <si>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</si>
  <si>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</si>
  <si>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</si>
  <si>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</si>
  <si>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</si>
  <si>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</si>
  <si>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</si>
  <si>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</si>
  <si>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</si>
  <si>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</si>
  <si>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</si>
  <si>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</si>
  <si>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</si>
  <si>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</si>
  <si>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</si>
  <si>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</si>
  <si>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</si>
  <si>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</si>
  <si>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</si>
  <si>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</si>
  <si>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</si>
  <si>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</si>
  <si>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</si>
  <si>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</si>
  <si>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</si>
  <si>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</si>
  <si>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</si>
  <si>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</si>
  <si>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</si>
  <si>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</si>
  <si>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</si>
  <si>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</si>
  <si>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</si>
  <si>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</si>
  <si>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</si>
  <si>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</si>
  <si>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</si>
  <si>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</si>
  <si>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</si>
  <si>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</si>
  <si>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</si>
  <si>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</si>
  <si>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</si>
  <si>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</si>
  <si>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</si>
  <si>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</si>
  <si>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</si>
  <si>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</si>
  <si>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</si>
  <si>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</si>
  <si>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</si>
  <si>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</si>
  <si>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</si>
  <si>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</si>
  <si>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</si>
  <si>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</si>
  <si>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</si>
  <si>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</si>
  <si>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</si>
  <si>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</si>
  <si>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</si>
  <si>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</si>
  <si>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</si>
  <si>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</si>
  <si>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</si>
  <si>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</si>
  <si>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</si>
  <si>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</si>
  <si>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</si>
  <si>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</si>
  <si>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</si>
  <si>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</si>
  <si>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</si>
  <si>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</si>
  <si>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</si>
  <si>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</si>
  <si>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</si>
  <si>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</si>
  <si>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</si>
  <si>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</si>
  <si>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</si>
  <si>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</si>
  <si>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</si>
  <si>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</si>
  <si>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</si>
  <si>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</si>
  <si>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</si>
  <si>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</si>
  <si>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</si>
  <si>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</si>
  <si>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</si>
  <si>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</si>
  <si>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</si>
  <si>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</si>
  <si>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</si>
  <si>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</si>
  <si>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</si>
  <si>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</si>
  <si>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</si>
  <si>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</si>
  <si>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</si>
  <si>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</si>
  <si>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</si>
  <si>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</si>
  <si>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</si>
  <si>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</si>
  <si>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</si>
  <si>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</si>
  <si>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</si>
  <si>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</si>
  <si>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</si>
  <si>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</si>
  <si>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</si>
  <si>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</si>
  <si>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</si>
  <si>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</si>
  <si>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</si>
  <si>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</si>
  <si>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</si>
  <si>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</si>
  <si>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</si>
  <si>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</si>
  <si>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</si>
  <si>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</si>
  <si>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</si>
  <si>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</si>
  <si>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</si>
  <si>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</si>
  <si>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</si>
  <si>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</si>
  <si>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</si>
  <si>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</si>
  <si>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</si>
  <si>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</si>
  <si>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</si>
  <si>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</si>
  <si>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</si>
  <si>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</si>
  <si>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</si>
  <si>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</si>
  <si>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</si>
  <si>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</si>
  <si>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</si>
  <si>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</si>
  <si>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</si>
  <si>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</si>
  <si>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</si>
  <si>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</si>
  <si>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</si>
  <si>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</si>
  <si>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</si>
  <si>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</si>
  <si>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</si>
  <si>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</si>
  <si>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</si>
  <si>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</si>
  <si>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</si>
  <si>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</si>
  <si>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</si>
  <si>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</si>
  <si>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</si>
  <si>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</si>
  <si>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</si>
  <si>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</si>
  <si>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</si>
  <si>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</si>
  <si>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</si>
  <si>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</si>
  <si>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</si>
  <si>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</si>
  <si>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</si>
  <si>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</si>
  <si>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</si>
  <si>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</si>
  <si>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</si>
  <si>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</si>
  <si>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</si>
  <si>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</si>
  <si>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</si>
  <si>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</si>
  <si>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</si>
  <si>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</si>
  <si>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</si>
  <si>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</si>
  <si>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</si>
  <si>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</si>
  <si>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</si>
  <si>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</si>
  <si>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</si>
  <si>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</si>
  <si>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</si>
  <si>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</si>
  <si>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</si>
  <si>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</si>
  <si>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</si>
  <si>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</si>
  <si>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</si>
  <si>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</si>
  <si>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</si>
  <si>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</si>
  <si>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</si>
  <si>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</si>
  <si>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</si>
  <si>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</si>
  <si>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</si>
  <si>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</si>
  <si>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</si>
  <si>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</si>
  <si>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</si>
  <si>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</si>
  <si>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</si>
  <si>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</si>
  <si>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</si>
  <si>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</si>
  <si>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</si>
  <si>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</si>
  <si>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</si>
  <si>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</si>
  <si>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</si>
  <si>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</si>
  <si>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</si>
  <si>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</si>
  <si>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</si>
  <si>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</si>
  <si>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</si>
  <si>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</si>
  <si>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</si>
  <si>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</si>
  <si>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</si>
  <si>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</si>
  <si>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</si>
  <si>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</si>
  <si>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</si>
  <si>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</si>
  <si>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</si>
  <si>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</si>
  <si>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</si>
  <si>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</si>
  <si>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</si>
  <si>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</si>
  <si>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</si>
  <si>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</si>
  <si>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</si>
  <si>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</si>
  <si>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</si>
  <si>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</si>
  <si>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</si>
  <si>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</si>
  <si>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</si>
  <si>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</si>
  <si>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</si>
  <si>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</si>
  <si>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</si>
  <si>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</si>
  <si>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</si>
  <si>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</si>
  <si>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</si>
  <si>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</si>
  <si>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</si>
  <si>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</si>
  <si>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</si>
  <si>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</si>
  <si>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</si>
  <si>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</si>
  <si>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</si>
  <si>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</si>
  <si>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</si>
  <si>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</si>
  <si>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</si>
  <si>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</si>
  <si>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</si>
  <si>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</si>
  <si>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</si>
  <si>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</si>
  <si>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</si>
  <si>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</si>
  <si>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</si>
  <si>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</si>
  <si>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</si>
  <si>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</si>
  <si>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</si>
  <si>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</si>
  <si>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</si>
  <si>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</si>
  <si>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</si>
  <si>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</si>
  <si>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</si>
  <si>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</si>
  <si>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</si>
  <si>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</si>
  <si>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</si>
  <si>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</si>
  <si>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</si>
  <si>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</si>
  <si>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</si>
  <si>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</si>
  <si>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</si>
  <si>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</si>
  <si>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</si>
  <si>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</si>
  <si>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</si>
  <si>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</si>
  <si>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</si>
  <si>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</si>
  <si>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</si>
  <si>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</si>
  <si>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</si>
  <si>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</si>
  <si>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</si>
  <si>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</si>
  <si>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</si>
  <si>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</si>
  <si>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</si>
  <si>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</si>
  <si>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</si>
  <si>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</si>
  <si>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</si>
  <si>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</si>
  <si>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</si>
  <si>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</si>
  <si>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</si>
  <si>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</si>
  <si>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</si>
  <si>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</si>
  <si>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</si>
  <si>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</si>
  <si>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</si>
  <si>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</si>
  <si>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</si>
  <si>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</si>
  <si>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</si>
  <si>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</si>
  <si>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</si>
  <si>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</si>
  <si>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</si>
  <si>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</si>
  <si>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</si>
  <si>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</si>
  <si>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</si>
  <si>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</si>
  <si>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</si>
  <si>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</si>
  <si>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</si>
  <si>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</si>
  <si>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</si>
  <si>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</si>
  <si>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</si>
  <si>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</si>
  <si>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</si>
  <si>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</si>
  <si>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</si>
  <si>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</si>
  <si>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</si>
  <si>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</si>
  <si>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</si>
  <si>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</si>
  <si>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</si>
  <si>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</si>
  <si>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</si>
  <si>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</si>
  <si>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</si>
  <si>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</si>
  <si>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</si>
  <si>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</si>
  <si>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</si>
  <si>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</si>
  <si>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</si>
  <si>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</si>
  <si>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</si>
  <si>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</si>
  <si>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</si>
  <si>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</si>
  <si>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</si>
  <si>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</si>
  <si>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</si>
  <si>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</si>
  <si>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</si>
  <si>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</si>
  <si>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</si>
  <si>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</si>
  <si>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</si>
  <si>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</si>
  <si>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</si>
  <si>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</si>
  <si>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</si>
  <si>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</si>
  <si>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</si>
  <si>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</si>
  <si>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</si>
  <si>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</si>
  <si>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</si>
  <si>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</si>
  <si>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</si>
  <si>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</si>
  <si>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</si>
  <si>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</si>
  <si>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</si>
  <si>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</si>
  <si>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</si>
  <si>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</si>
  <si>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</si>
  <si>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</si>
  <si>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</si>
  <si>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</si>
  <si>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</si>
  <si>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</si>
  <si>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</si>
  <si>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</si>
  <si>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</si>
  <si>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</si>
  <si>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</si>
  <si>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</si>
  <si>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</si>
  <si>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</si>
  <si>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</si>
  <si>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</si>
  <si>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</si>
  <si>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</si>
  <si>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</si>
  <si>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</si>
  <si>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</si>
  <si>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</si>
  <si>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</si>
  <si>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</si>
  <si>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</si>
  <si>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</si>
  <si>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</si>
  <si>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</si>
  <si>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</si>
  <si>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</si>
  <si>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</si>
  <si>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</si>
  <si>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</si>
  <si>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</si>
  <si>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</si>
  <si>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</si>
  <si>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</si>
  <si>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</si>
  <si>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</si>
  <si>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</si>
  <si>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</si>
  <si>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</si>
  <si>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</si>
  <si>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</si>
  <si>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</si>
  <si>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</si>
  <si>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</si>
  <si>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</si>
  <si>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</si>
  <si>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</si>
  <si>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</si>
  <si>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</si>
  <si>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</si>
  <si>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</si>
  <si>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</si>
  <si>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</si>
  <si>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</si>
  <si>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</si>
  <si>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</si>
  <si>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</si>
  <si>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</si>
  <si>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</si>
  <si>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</si>
  <si>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</si>
  <si>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</si>
  <si>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</si>
  <si>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</si>
  <si>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</si>
  <si>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</si>
  <si>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</si>
  <si>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</si>
  <si>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</si>
  <si>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</si>
  <si>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</si>
  <si>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</si>
  <si>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</si>
  <si>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</si>
  <si>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</si>
  <si>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</si>
  <si>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</si>
  <si>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</si>
  <si>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</si>
  <si>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</si>
  <si>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</si>
  <si>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</si>
  <si>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</si>
  <si>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</si>
  <si>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</si>
  <si>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</si>
  <si>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</si>
  <si>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</si>
  <si>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</si>
  <si>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</si>
  <si>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</si>
  <si>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</si>
  <si>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</si>
  <si>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</si>
  <si>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</si>
  <si>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</si>
  <si>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</si>
  <si>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</si>
  <si>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</si>
  <si>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</si>
  <si>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</si>
  <si>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</si>
  <si>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</si>
  <si>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</si>
  <si>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</si>
  <si>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</si>
  <si>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</si>
  <si>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</si>
  <si>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</si>
  <si>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</si>
  <si>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</si>
  <si>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</si>
  <si>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</si>
  <si>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</si>
  <si>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</si>
  <si>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</si>
  <si>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</si>
  <si>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</si>
  <si>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</si>
  <si>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</si>
  <si>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</si>
  <si>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</si>
  <si>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</si>
  <si>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</si>
  <si>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</si>
  <si>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</si>
  <si>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</si>
  <si>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</si>
  <si>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</si>
  <si>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</si>
  <si>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</si>
  <si>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</si>
  <si>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</si>
  <si>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</si>
  <si>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</si>
  <si>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</si>
  <si>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</si>
  <si>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</si>
  <si>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</si>
  <si>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</si>
  <si>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</si>
  <si>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</si>
  <si>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</si>
  <si>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</si>
  <si>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</si>
  <si>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</si>
  <si>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</si>
  <si>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</si>
  <si>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</si>
  <si>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</si>
  <si>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</si>
  <si>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</si>
  <si>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</si>
  <si>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</si>
  <si>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</si>
  <si>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</si>
  <si>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</si>
  <si>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</si>
  <si>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</si>
  <si>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</si>
  <si>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</si>
  <si>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</si>
  <si>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</si>
  <si>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</si>
  <si>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</si>
  <si>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</si>
  <si>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</si>
  <si>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</si>
  <si>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</si>
  <si>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</si>
  <si>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</si>
  <si>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</si>
  <si>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</si>
  <si>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</si>
  <si>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</si>
  <si>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</si>
  <si>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</si>
  <si>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</si>
  <si>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</si>
  <si>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</si>
  <si>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</si>
  <si>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</si>
  <si>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</si>
  <si>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</si>
  <si>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</si>
  <si>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</si>
  <si>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</si>
  <si>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</si>
  <si>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</si>
  <si>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</si>
  <si>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</si>
  <si>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</si>
  <si>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</si>
  <si>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</si>
  <si>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</si>
  <si>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</si>
  <si>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</si>
  <si>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</si>
  <si>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</si>
  <si>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</si>
  <si>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</si>
  <si>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</si>
  <si>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</si>
  <si>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</si>
  <si>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</si>
  <si>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</si>
  <si>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</si>
  <si>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</si>
  <si>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</si>
  <si>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</si>
  <si>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</si>
  <si>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</si>
  <si>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</si>
  <si>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</si>
  <si>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</si>
  <si>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</si>
  <si>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</si>
  <si>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</si>
  <si>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</si>
  <si>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</si>
  <si>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</si>
  <si>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</si>
  <si>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</si>
  <si>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</si>
  <si>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</si>
  <si>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</si>
  <si>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</si>
  <si>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</si>
  <si>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</si>
  <si>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</si>
  <si>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</si>
  <si>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</si>
  <si>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</si>
  <si>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</si>
  <si>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</si>
  <si>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</si>
  <si>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</si>
  <si>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</si>
  <si>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</si>
  <si>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</si>
  <si>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</si>
  <si>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</si>
  <si>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</si>
  <si>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</si>
  <si>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</si>
  <si>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</si>
  <si>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</si>
  <si>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</si>
  <si>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</si>
  <si>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</si>
  <si>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</si>
  <si>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</si>
  <si>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</si>
  <si>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</si>
  <si>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</si>
  <si>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</si>
  <si>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</si>
  <si>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</si>
  <si>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</si>
  <si>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</si>
  <si>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</si>
  <si>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</si>
  <si>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</si>
  <si>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</si>
  <si>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</si>
  <si>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</si>
  <si>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</si>
  <si>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</si>
  <si>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</si>
  <si>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</si>
  <si>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</si>
  <si>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</si>
  <si>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</si>
  <si>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</si>
  <si>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</si>
  <si>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</si>
  <si>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</si>
  <si>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</si>
  <si>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</si>
  <si>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</si>
  <si>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</si>
  <si>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</si>
  <si>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</si>
  <si>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</si>
  <si>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</si>
  <si>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</si>
  <si>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</si>
  <si>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</si>
  <si>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</si>
  <si>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</si>
  <si>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</si>
  <si>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</si>
  <si>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</si>
  <si>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</si>
  <si>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</si>
  <si>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</si>
  <si>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</si>
  <si>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</si>
  <si>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</si>
  <si>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</si>
  <si>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</si>
  <si>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</si>
  <si>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</si>
  <si>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</si>
  <si>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</si>
  <si>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</si>
  <si>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</si>
  <si>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</si>
  <si>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</si>
  <si>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</si>
  <si>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</si>
  <si>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</si>
  <si>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</si>
  <si>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</si>
  <si>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</si>
  <si>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</si>
  <si>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</si>
  <si>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</si>
  <si>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</si>
  <si>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</si>
  <si>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</si>
  <si>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</si>
  <si>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</si>
  <si>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</si>
  <si>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</si>
  <si>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</si>
  <si>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</si>
  <si>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</si>
  <si>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</si>
  <si>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</si>
  <si>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</si>
  <si>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</si>
  <si>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</si>
  <si>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</si>
  <si>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</si>
  <si>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</si>
  <si>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</si>
  <si>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</si>
  <si>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</si>
  <si>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</si>
  <si>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</si>
  <si>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</si>
  <si>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</si>
  <si>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</si>
  <si>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</si>
  <si>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</si>
  <si>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</si>
  <si>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</si>
  <si>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</si>
  <si>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</si>
  <si>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</si>
  <si>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</si>
  <si>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</si>
  <si>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</si>
  <si>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</si>
  <si>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</si>
  <si>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</si>
  <si>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</si>
  <si>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</si>
  <si>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</si>
  <si>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</si>
  <si>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</si>
  <si>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</si>
  <si>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</si>
  <si>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</si>
  <si>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</si>
  <si>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</si>
  <si>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</si>
  <si>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</si>
  <si>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</si>
  <si>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</si>
  <si>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</si>
  <si>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</si>
  <si>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</si>
  <si>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</si>
  <si>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</si>
  <si>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</si>
  <si>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</si>
  <si>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</si>
  <si>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</si>
  <si>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</si>
  <si>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</si>
  <si>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</si>
  <si>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</si>
  <si>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</si>
  <si>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</si>
  <si>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</si>
  <si>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</si>
  <si>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</si>
  <si>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</si>
  <si>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</si>
  <si>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</si>
  <si>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</si>
  <si>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</si>
  <si>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</si>
  <si>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</si>
  <si>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</si>
  <si>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</si>
  <si>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</si>
  <si>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</si>
  <si>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</si>
  <si>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</si>
  <si>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</si>
  <si>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</si>
  <si>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</si>
  <si>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</si>
  <si>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</si>
  <si>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</si>
  <si>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</si>
  <si>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</si>
  <si>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</si>
  <si>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</si>
  <si>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</si>
  <si>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</si>
  <si>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</si>
  <si>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</si>
  <si>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</si>
  <si>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</si>
  <si>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</si>
  <si>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</si>
  <si>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</si>
  <si>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</si>
  <si>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</si>
  <si>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</si>
  <si>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</si>
  <si>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</si>
  <si>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</si>
  <si>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</si>
  <si>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</si>
  <si>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</si>
  <si>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</si>
  <si>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</si>
  <si>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</si>
  <si>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</si>
  <si>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</si>
  <si>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</si>
  <si>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</si>
  <si>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</si>
  <si>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</si>
  <si>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</si>
  <si>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</si>
  <si>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</si>
  <si>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</si>
  <si>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</si>
  <si>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</si>
  <si>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</si>
  <si>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</si>
  <si>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</si>
  <si>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</si>
  <si>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</si>
  <si>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</si>
  <si>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</si>
  <si>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</si>
  <si>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</si>
  <si>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</si>
  <si>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</si>
  <si>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</si>
  <si>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</si>
  <si>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</si>
  <si>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</si>
  <si>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</si>
  <si>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</si>
  <si>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</si>
  <si>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</si>
  <si>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</si>
  <si>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</si>
  <si>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</si>
  <si>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</si>
  <si>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</si>
  <si>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</si>
  <si>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</si>
  <si>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</si>
  <si>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</si>
  <si>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</si>
  <si>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</si>
  <si>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</si>
  <si>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</si>
  <si>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</si>
  <si>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</si>
  <si>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</si>
  <si>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</si>
  <si>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</si>
  <si>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</si>
  <si>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</si>
  <si>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</si>
  <si>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</si>
  <si>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</si>
  <si>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</si>
  <si>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</si>
  <si>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</si>
  <si>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</si>
  <si>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</si>
  <si>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</si>
  <si>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</si>
  <si>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</si>
  <si>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</si>
  <si>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</si>
  <si>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</si>
  <si>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</si>
  <si>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</si>
  <si>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</si>
  <si>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</si>
  <si>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</si>
  <si>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</si>
  <si>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</si>
  <si>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</si>
  <si>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</si>
  <si>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</si>
  <si>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</si>
  <si>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</si>
  <si>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</si>
  <si>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</si>
  <si>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</si>
  <si>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</si>
  <si>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</si>
  <si>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</si>
  <si>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</si>
  <si>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</si>
  <si>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</si>
  <si>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</si>
  <si>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</si>
  <si>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</si>
  <si>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</si>
  <si>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</si>
  <si>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</si>
  <si>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</si>
  <si>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</si>
  <si>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</si>
  <si>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</si>
  <si>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</si>
  <si>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</si>
  <si>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</si>
  <si>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</si>
  <si>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</si>
  <si>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</si>
  <si>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</si>
  <si>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</si>
  <si>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</si>
  <si>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</si>
  <si>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</si>
  <si>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</si>
  <si>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</si>
  <si>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</si>
  <si>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</si>
  <si>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</si>
  <si>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</si>
  <si>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</si>
  <si>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</si>
  <si>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</si>
  <si>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</si>
  <si>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</si>
  <si>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</si>
  <si>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</si>
  <si>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</si>
  <si>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</si>
  <si>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</si>
  <si>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</si>
  <si>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</si>
  <si>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</si>
  <si>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</si>
  <si>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</si>
  <si>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</si>
  <si>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</si>
  <si>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</si>
  <si>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</si>
  <si>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</si>
  <si>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</si>
  <si>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</si>
  <si>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</si>
  <si>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</si>
  <si>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</si>
  <si>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</si>
  <si>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</si>
  <si>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</si>
  <si>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</si>
  <si>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</si>
  <si>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</si>
  <si>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</si>
  <si>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</si>
  <si>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</si>
  <si>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</si>
  <si>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</si>
  <si>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</si>
  <si>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</si>
  <si>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</si>
  <si>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</si>
  <si>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</si>
  <si>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</si>
  <si>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</si>
  <si>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</si>
  <si>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</si>
  <si>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</si>
  <si>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</si>
  <si>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</si>
  <si>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</si>
  <si>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</si>
  <si>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</si>
  <si>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</si>
  <si>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</si>
  <si>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</si>
  <si>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</si>
  <si>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</si>
  <si>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</si>
  <si>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</si>
  <si>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</si>
  <si>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</si>
  <si>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</si>
  <si>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</si>
  <si>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</si>
  <si>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</si>
  <si>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</si>
  <si>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</si>
  <si>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</si>
  <si>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</si>
  <si>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</si>
  <si>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</si>
  <si>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</si>
  <si>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</si>
  <si>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</si>
  <si>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</si>
  <si>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</si>
  <si>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</si>
  <si>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</si>
  <si>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</si>
  <si>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</si>
  <si>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</si>
  <si>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</si>
  <si>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</si>
  <si>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</si>
  <si>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</si>
  <si>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</si>
  <si>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</si>
  <si>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</si>
  <si>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</si>
  <si>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</si>
  <si>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</si>
  <si>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</si>
  <si>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</si>
  <si>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</si>
  <si>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</si>
  <si>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</si>
  <si>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</si>
  <si>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</si>
  <si>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</si>
  <si>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</si>
  <si>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</si>
  <si>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</si>
  <si>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</si>
  <si>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</si>
  <si>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</si>
  <si>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</si>
  <si>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</si>
  <si>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</si>
  <si>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</si>
  <si>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</si>
  <si>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</si>
  <si>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</si>
  <si>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</si>
  <si>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</si>
  <si>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</si>
  <si>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</si>
  <si>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</si>
  <si>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</si>
  <si>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</si>
  <si>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</si>
  <si>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</si>
  <si>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</si>
  <si>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</si>
  <si>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</si>
  <si>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</si>
  <si>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</si>
  <si>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</si>
  <si>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</si>
  <si>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</si>
  <si>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</si>
  <si>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</si>
  <si>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</si>
  <si>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</si>
  <si>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</si>
  <si>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</si>
  <si>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</si>
  <si>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</si>
  <si>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</si>
  <si>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</si>
  <si>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</si>
  <si>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</si>
  <si>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</si>
  <si>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</si>
  <si>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</si>
  <si>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</si>
  <si>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</si>
  <si>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</si>
  <si>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</si>
  <si>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</si>
  <si>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</si>
  <si>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</si>
  <si>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</si>
  <si>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</si>
  <si>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</si>
  <si>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</si>
  <si>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</si>
  <si>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</si>
  <si>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</si>
  <si>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</si>
  <si>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</si>
  <si>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</si>
  <si>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</si>
  <si>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</si>
  <si>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</si>
  <si>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</si>
  <si>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</si>
  <si>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</si>
  <si>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</si>
  <si>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</si>
  <si>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</si>
  <si>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</si>
  <si>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</si>
  <si>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</si>
  <si>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</si>
  <si>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</si>
  <si>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</si>
  <si>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</si>
  <si>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</si>
  <si>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</si>
  <si>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</si>
  <si>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</si>
  <si>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</si>
  <si>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</si>
  <si>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</si>
  <si>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</si>
  <si>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</si>
  <si>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</si>
  <si>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</si>
  <si>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</si>
  <si>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</si>
  <si>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</si>
  <si>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</si>
  <si>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</si>
  <si>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</si>
  <si>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</si>
  <si>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</si>
  <si>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</si>
  <si>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</si>
  <si>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</si>
  <si>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</si>
  <si>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</si>
  <si>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</si>
  <si>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</si>
  <si>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</si>
  <si>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</si>
  <si>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</si>
  <si>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</si>
  <si>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</si>
  <si>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</si>
  <si>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</si>
  <si>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</si>
  <si>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</si>
  <si>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</si>
  <si>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</si>
  <si>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</si>
  <si>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</si>
  <si>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</si>
  <si>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</si>
  <si>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</si>
  <si>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</si>
  <si>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</si>
  <si>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</si>
  <si>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</si>
  <si>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</si>
  <si>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</si>
  <si>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</si>
  <si>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</si>
  <si>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</si>
  <si>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</si>
  <si>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</si>
  <si>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</si>
  <si>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</si>
  <si>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</si>
  <si>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</si>
  <si>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</si>
  <si>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</si>
  <si>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</si>
  <si>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</si>
  <si>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</si>
  <si>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</si>
  <si>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</si>
  <si>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</si>
  <si>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</si>
  <si>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</si>
  <si>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</si>
  <si>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</si>
  <si>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</si>
  <si>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</si>
  <si>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</si>
  <si>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</si>
  <si>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</si>
  <si>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</si>
  <si>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</si>
  <si>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</si>
  <si>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</si>
  <si>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</si>
  <si>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</si>
  <si>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</si>
  <si>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</si>
  <si>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</si>
  <si>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</si>
  <si>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</si>
  <si>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</si>
  <si>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</si>
  <si>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</si>
  <si>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</si>
  <si>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</si>
  <si>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</si>
  <si>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</si>
  <si>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</si>
  <si>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</si>
  <si>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</si>
  <si>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</si>
  <si>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</si>
  <si>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</si>
  <si>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</si>
  <si>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</si>
  <si>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</si>
  <si>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</si>
  <si>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</si>
  <si>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</si>
  <si>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</si>
  <si>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</si>
  <si>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</si>
  <si>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</si>
  <si>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</si>
  <si>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</si>
  <si>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</si>
  <si>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</si>
  <si>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</si>
  <si>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</si>
  <si>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</si>
  <si>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</si>
  <si>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</si>
  <si>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</si>
  <si>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</si>
  <si>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</si>
  <si>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</si>
  <si>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</si>
  <si>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</si>
  <si>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</si>
  <si>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</si>
  <si>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</si>
  <si>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</si>
  <si>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</si>
  <si>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</si>
  <si>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</si>
  <si>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</si>
  <si>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</si>
  <si>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</si>
  <si>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</si>
  <si>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</si>
  <si>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</si>
  <si>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</si>
  <si>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</si>
  <si>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</si>
  <si>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</si>
  <si>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</si>
  <si>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</si>
  <si>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</si>
  <si>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</si>
  <si>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</si>
  <si>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</si>
  <si>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</si>
  <si>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</si>
  <si>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</si>
  <si>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</si>
  <si>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</si>
  <si>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</si>
  <si>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</si>
  <si>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</si>
  <si>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</si>
  <si>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</si>
  <si>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</si>
  <si>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</si>
  <si>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</si>
  <si>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</si>
  <si>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</si>
  <si>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</si>
  <si>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</si>
  <si>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</si>
  <si>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</si>
  <si>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</si>
  <si>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</si>
  <si>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</si>
  <si>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</si>
  <si>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</si>
  <si>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</si>
  <si>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</si>
  <si>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</si>
  <si>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</si>
  <si>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</si>
  <si>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</si>
  <si>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</si>
  <si>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</si>
  <si>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</si>
  <si>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</si>
  <si>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</si>
  <si>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</si>
  <si>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</si>
  <si>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</si>
  <si>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</si>
  <si>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</si>
  <si>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</si>
  <si>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</si>
  <si>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</si>
  <si>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</si>
  <si>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</si>
  <si>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</si>
  <si>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</si>
  <si>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</si>
  <si>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</si>
  <si>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</si>
  <si>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</si>
  <si>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</si>
  <si>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</si>
  <si>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</si>
  <si>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</si>
  <si>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</si>
  <si>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</si>
  <si>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</si>
  <si>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</si>
  <si>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</si>
  <si>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</si>
  <si>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</si>
  <si>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</si>
  <si>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</si>
  <si>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</si>
  <si>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</si>
  <si>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</si>
  <si>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</si>
  <si>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</si>
  <si>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</si>
  <si>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</si>
  <si>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</si>
  <si>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</si>
  <si>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</si>
  <si>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</si>
  <si>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</si>
  <si>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</si>
  <si>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</si>
  <si>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</si>
  <si>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</si>
  <si>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</si>
  <si>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</si>
  <si>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</si>
  <si>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</si>
  <si>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</si>
  <si>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</si>
  <si>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</si>
  <si>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</si>
  <si>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</si>
  <si>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</si>
  <si>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</si>
  <si>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</si>
  <si>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</si>
  <si>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</si>
  <si>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</si>
  <si>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</si>
  <si>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</si>
  <si>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</si>
  <si>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</si>
  <si>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</si>
  <si>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</si>
  <si>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</si>
  <si>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</si>
  <si>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</si>
  <si>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</si>
  <si>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</si>
  <si>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</si>
  <si>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</si>
  <si>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</si>
  <si>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</si>
  <si>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</si>
  <si>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</si>
  <si>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</si>
  <si>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</si>
  <si>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</si>
  <si>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</si>
  <si>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</si>
  <si>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</si>
  <si>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</si>
  <si>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</si>
  <si>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</si>
  <si>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</si>
  <si>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</si>
  <si>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</si>
  <si>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</si>
  <si>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</si>
  <si>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</si>
  <si>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</si>
  <si>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</si>
  <si>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</si>
  <si>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</si>
  <si>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</si>
  <si>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</si>
  <si>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</si>
  <si>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</si>
  <si>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</si>
  <si>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</si>
  <si>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</si>
  <si>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</si>
  <si>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</si>
  <si>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</si>
  <si>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</si>
  <si>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</si>
  <si>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</si>
  <si>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</si>
  <si>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</si>
  <si>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</si>
  <si>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</si>
  <si>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</si>
  <si>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</si>
  <si>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</si>
  <si>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</si>
  <si>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</si>
  <si>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</si>
  <si>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</si>
  <si>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</si>
  <si>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</si>
  <si>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</si>
  <si>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</si>
  <si>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</si>
  <si>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</si>
  <si>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</si>
  <si>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</si>
  <si>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</si>
  <si>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</si>
  <si>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</si>
  <si>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</si>
  <si>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</si>
  <si>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</si>
  <si>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</si>
  <si>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</si>
  <si>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</si>
  <si>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</si>
  <si>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</si>
  <si>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</si>
  <si>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</si>
  <si>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</si>
  <si>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</si>
  <si>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</si>
  <si>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</si>
  <si>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</si>
  <si>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</si>
  <si>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</si>
  <si>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</si>
  <si>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</si>
  <si>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</si>
  <si>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</si>
  <si>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</si>
  <si>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</si>
  <si>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</si>
  <si>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</si>
  <si>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</si>
  <si>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</si>
  <si>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</si>
  <si>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</si>
  <si>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</si>
  <si>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</si>
  <si>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</si>
  <si>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</si>
  <si>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</si>
  <si>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</si>
  <si>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</si>
  <si>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</si>
  <si>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</si>
  <si>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</si>
  <si>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</si>
  <si>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</si>
  <si>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</si>
  <si>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</si>
  <si>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</si>
  <si>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</si>
  <si>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</si>
  <si>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</si>
  <si>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</si>
  <si>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</si>
  <si>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</si>
  <si>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</si>
  <si>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</si>
  <si>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</si>
  <si>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</si>
  <si>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</si>
  <si>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</si>
  <si>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</si>
  <si>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</si>
  <si>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</si>
  <si>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</si>
  <si>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</si>
  <si>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</si>
  <si>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</si>
  <si>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</si>
  <si>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</si>
  <si>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</si>
  <si>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</si>
  <si>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</si>
  <si>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</si>
  <si>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</si>
  <si>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</si>
  <si>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</si>
  <si>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</si>
  <si>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</si>
  <si>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</si>
  <si>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</si>
  <si>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</si>
  <si>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</si>
  <si>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</si>
  <si>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</si>
  <si>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</si>
  <si>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</si>
  <si>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</si>
  <si>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</si>
  <si>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</si>
  <si>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</si>
  <si>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</si>
  <si>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</si>
  <si>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</si>
  <si>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</si>
  <si>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</si>
  <si>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</si>
  <si>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</si>
  <si>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</si>
  <si>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</si>
  <si>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</si>
  <si>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</si>
  <si>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</si>
  <si>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</si>
  <si>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</si>
  <si>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</si>
  <si>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</si>
  <si>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</si>
  <si>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</si>
  <si>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</si>
  <si>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</si>
  <si>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</si>
  <si>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</si>
  <si>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</si>
  <si>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</si>
  <si>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</si>
  <si>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</si>
  <si>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</si>
  <si>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</si>
  <si>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</si>
  <si>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</si>
  <si>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</si>
  <si>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</si>
  <si>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</si>
  <si>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</si>
  <si>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</si>
  <si>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</si>
  <si>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</si>
  <si>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</si>
  <si>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</si>
  <si>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</si>
  <si>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</si>
  <si>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</si>
  <si>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</si>
  <si>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</si>
  <si>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</si>
  <si>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</si>
  <si>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</si>
  <si>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</si>
  <si>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</si>
  <si>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</si>
  <si>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</si>
  <si>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</si>
  <si>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</si>
  <si>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</si>
  <si>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</si>
  <si>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</si>
  <si>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</si>
  <si>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</si>
  <si>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</si>
  <si>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</si>
  <si>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</si>
  <si>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</si>
  <si>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</si>
  <si>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</si>
  <si>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</si>
  <si>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</si>
  <si>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</si>
  <si>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</si>
  <si>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</si>
  <si>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</si>
  <si>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</si>
  <si>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</si>
  <si>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</si>
  <si>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</si>
  <si>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</si>
  <si>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</si>
  <si>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</si>
  <si>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</si>
  <si>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</si>
  <si>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</si>
  <si>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</si>
  <si>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</si>
  <si>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</si>
  <si>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</si>
  <si>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</si>
  <si>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</si>
  <si>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</si>
  <si>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</si>
  <si>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</si>
  <si>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</si>
  <si>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</si>
  <si>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</si>
  <si>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</si>
  <si>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</si>
  <si>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</si>
  <si>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</si>
  <si>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</si>
  <si>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</si>
  <si>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</si>
  <si>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</si>
  <si>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</si>
  <si>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</si>
  <si>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</si>
  <si>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</si>
  <si>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</si>
  <si>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</si>
  <si>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</si>
  <si>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</si>
  <si>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</si>
  <si>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</si>
  <si>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</si>
  <si>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</si>
  <si>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</si>
  <si>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</si>
  <si>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</si>
  <si>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</si>
  <si>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</si>
  <si>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</si>
  <si>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</si>
  <si>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</si>
  <si>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</si>
  <si>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</si>
  <si>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</si>
  <si>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</si>
  <si>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</si>
  <si>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</si>
  <si>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</si>
  <si>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</si>
  <si>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</si>
  <si>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</si>
  <si>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</si>
  <si>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</si>
  <si>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</si>
  <si>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</si>
  <si>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</si>
  <si>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</si>
  <si>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</si>
  <si>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</si>
  <si>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</si>
  <si>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</si>
  <si>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</si>
  <si>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</si>
  <si>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</si>
  <si>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</si>
  <si>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</si>
  <si>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</si>
  <si>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</si>
  <si>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</si>
  <si>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</si>
  <si>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</si>
  <si>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</si>
  <si>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</si>
  <si>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</si>
  <si>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</si>
  <si>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</si>
  <si>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</si>
  <si>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</si>
  <si>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</si>
  <si>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</si>
  <si>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</si>
  <si>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</si>
  <si>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</si>
  <si>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</si>
  <si>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</si>
  <si>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</si>
  <si>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</si>
  <si>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</si>
  <si>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</si>
  <si>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</si>
  <si>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</si>
  <si>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</si>
  <si>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</si>
  <si>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</si>
  <si>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</si>
  <si>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</si>
  <si>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</si>
  <si>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</si>
  <si>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</si>
  <si>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</si>
  <si>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</si>
  <si>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</si>
  <si>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</si>
  <si>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</si>
  <si>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</si>
  <si>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</si>
  <si>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</si>
  <si>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</si>
  <si>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</si>
  <si>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</si>
  <si>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</si>
  <si>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</si>
  <si>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</si>
  <si>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</si>
  <si>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</si>
  <si>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</si>
  <si>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</si>
  <si>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</si>
  <si>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</si>
  <si>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</si>
  <si>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</si>
  <si>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</si>
  <si>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</si>
  <si>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</si>
  <si>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</si>
  <si>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</si>
  <si>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</si>
  <si>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</si>
  <si>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</si>
  <si>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</si>
  <si>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</si>
  <si>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</si>
  <si>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</si>
  <si>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</si>
  <si>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</si>
  <si>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</si>
  <si>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</si>
  <si>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</si>
  <si>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</si>
  <si>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</si>
  <si>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</si>
  <si>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</si>
  <si>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</si>
  <si>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</si>
  <si>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</si>
  <si>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</si>
  <si>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</si>
  <si>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</si>
  <si>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</si>
  <si>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</si>
  <si>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</si>
  <si>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</si>
  <si>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</si>
  <si>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</si>
  <si>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</si>
  <si>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</si>
  <si>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</si>
  <si>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</si>
  <si>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</si>
  <si>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</si>
  <si>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</si>
  <si>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</si>
  <si>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</si>
  <si>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</si>
  <si>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</si>
  <si>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</si>
  <si>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</si>
  <si>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</si>
  <si>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</si>
  <si>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</si>
  <si>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</si>
  <si>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</si>
  <si>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</si>
  <si>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</si>
  <si>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</si>
  <si>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</si>
  <si>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</si>
  <si>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</si>
  <si>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</si>
  <si>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</si>
  <si>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</si>
  <si>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</si>
  <si>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</si>
  <si>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</si>
  <si>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</si>
  <si>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</si>
  <si>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</si>
  <si>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</si>
  <si>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</si>
  <si>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</si>
  <si>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</si>
  <si>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</si>
  <si>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</si>
  <si>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</si>
  <si>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</si>
  <si>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</si>
  <si>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</si>
  <si>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</si>
  <si>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</si>
  <si>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</si>
  <si>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</si>
  <si>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</si>
  <si>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</si>
  <si>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</si>
  <si>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</si>
  <si>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</si>
  <si>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</si>
  <si>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</si>
  <si>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</si>
  <si>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</si>
  <si>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</si>
  <si>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</si>
  <si>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</si>
  <si>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</si>
  <si>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</si>
  <si>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</si>
  <si>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</si>
  <si>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</si>
  <si>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</si>
  <si>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</si>
  <si>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</si>
  <si>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</si>
  <si>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</si>
  <si>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</si>
  <si>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</si>
  <si>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</si>
  <si>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</si>
  <si>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</si>
  <si>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</si>
  <si>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</si>
  <si>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</si>
  <si>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</si>
  <si>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</si>
  <si>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</si>
  <si>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</si>
  <si>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</si>
  <si>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</si>
  <si>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</si>
  <si>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</si>
  <si>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</si>
  <si>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</si>
  <si>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</si>
  <si>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</si>
  <si>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</si>
  <si>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</si>
  <si>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</si>
  <si>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</si>
  <si>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</si>
  <si>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</si>
  <si>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</si>
  <si>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</si>
  <si>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</si>
  <si>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</si>
  <si>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</si>
  <si>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</si>
  <si>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</si>
  <si>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</si>
  <si>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</si>
  <si>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</si>
  <si>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</si>
  <si>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</si>
  <si>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</si>
  <si>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</si>
  <si>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</si>
  <si>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</si>
  <si>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</si>
  <si>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</si>
  <si>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</si>
  <si>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</si>
  <si>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</si>
  <si>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</si>
  <si>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</si>
  <si>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</si>
  <si>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</si>
  <si>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</si>
  <si>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</si>
  <si>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</si>
  <si>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</si>
  <si>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</si>
  <si>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</si>
  <si>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</si>
  <si>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</si>
  <si>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</si>
  <si>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</si>
  <si>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</si>
  <si>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</si>
  <si>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</si>
  <si>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</si>
  <si>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</si>
  <si>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</si>
  <si>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</si>
  <si>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</si>
  <si>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</si>
  <si>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</si>
  <si>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</si>
  <si>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</si>
  <si>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</si>
  <si>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</si>
  <si>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</si>
  <si>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</si>
  <si>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</si>
  <si>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</si>
  <si>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</si>
  <si>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</si>
  <si>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</si>
  <si>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</si>
  <si>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</si>
  <si>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</si>
  <si>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</si>
  <si>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</si>
  <si>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</si>
  <si>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</si>
  <si>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</si>
  <si>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</si>
  <si>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</si>
  <si>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</si>
  <si>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</si>
  <si>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</si>
  <si>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</si>
  <si>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</si>
  <si>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</si>
  <si>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</si>
  <si>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</si>
  <si>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</si>
  <si>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</si>
  <si>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</si>
  <si>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</si>
  <si>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</si>
  <si>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</si>
  <si>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</si>
  <si>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</si>
  <si>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</si>
  <si>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</si>
  <si>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</si>
  <si>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</si>
  <si>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</si>
  <si>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</si>
  <si>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</si>
  <si>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</si>
  <si>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</si>
  <si>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</si>
  <si>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</si>
  <si>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</si>
  <si>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</si>
  <si>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</si>
  <si>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</si>
  <si>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</si>
  <si>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</si>
  <si>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</si>
  <si>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</si>
  <si>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</si>
  <si>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</si>
  <si>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</si>
  <si>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</si>
  <si>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</si>
  <si>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</si>
  <si>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</si>
  <si>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</si>
  <si>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</si>
  <si>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</si>
  <si>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</si>
  <si>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</si>
  <si>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</si>
  <si>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</si>
  <si>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</si>
  <si>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</si>
  <si>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</si>
  <si>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</si>
  <si>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</si>
  <si>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</si>
  <si>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</si>
  <si>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</si>
  <si>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</si>
  <si>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</si>
  <si>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</si>
  <si>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</si>
  <si>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</si>
  <si>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</si>
  <si>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</si>
  <si>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</si>
  <si>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</si>
  <si>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</si>
  <si>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</si>
  <si>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</si>
  <si>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</si>
  <si>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</si>
  <si>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</si>
  <si>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</si>
  <si>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</si>
  <si>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</si>
  <si>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</si>
  <si>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</si>
  <si>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</si>
  <si>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</si>
  <si>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</si>
  <si>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</si>
  <si>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</si>
  <si>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</si>
  <si>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</si>
  <si>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</si>
  <si>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</si>
  <si>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</si>
  <si>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</si>
  <si>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</si>
  <si>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</si>
  <si>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</si>
  <si>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</si>
  <si>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</si>
  <si>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</si>
  <si>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</si>
  <si>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</si>
  <si>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</si>
  <si>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</si>
  <si>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</si>
  <si>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</si>
  <si>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</si>
  <si>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</si>
  <si>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</si>
  <si>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</si>
  <si>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</si>
  <si>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</si>
  <si>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</si>
  <si>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</si>
  <si>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</si>
  <si>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</si>
  <si>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</si>
  <si>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</si>
  <si>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</si>
  <si>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</si>
  <si>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</si>
  <si>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</si>
  <si>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</si>
  <si>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</si>
  <si>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</si>
  <si>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</si>
  <si>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</si>
  <si>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</si>
  <si>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</si>
  <si>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</si>
  <si>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</si>
  <si>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</si>
  <si>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</si>
  <si>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</si>
  <si>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</si>
  <si>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</si>
  <si>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</si>
  <si>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</si>
  <si>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</si>
  <si>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</si>
  <si>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</si>
  <si>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</si>
  <si>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</si>
  <si>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</si>
  <si>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</si>
  <si>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</si>
  <si>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</si>
  <si>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</si>
  <si>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</si>
  <si>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</si>
  <si>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</si>
  <si>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</si>
  <si>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</si>
  <si>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</si>
  <si>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</si>
  <si>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</si>
  <si>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</si>
  <si>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</si>
  <si>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</si>
  <si>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</si>
  <si>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</si>
  <si>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</si>
  <si>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</si>
  <si>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</si>
  <si>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</si>
  <si>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</si>
  <si>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</si>
  <si>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</si>
  <si>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</si>
  <si>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</si>
  <si>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</si>
  <si>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</si>
  <si>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</si>
  <si>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</si>
  <si>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</si>
  <si>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</si>
  <si>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</si>
  <si>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</si>
  <si>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</si>
  <si>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</si>
  <si>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</si>
  <si>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</si>
  <si>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</si>
  <si>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</si>
  <si>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</si>
  <si>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</si>
  <si>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</si>
  <si>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</si>
  <si>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</si>
  <si>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</si>
  <si>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</si>
  <si>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</si>
  <si>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</si>
  <si>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</si>
  <si>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</si>
  <si>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</si>
  <si>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</si>
  <si>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</si>
  <si>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</si>
  <si>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</si>
  <si>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</si>
  <si>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</si>
  <si>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</si>
  <si>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</si>
  <si>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</si>
  <si>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</si>
  <si>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</si>
  <si>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</si>
  <si>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</si>
  <si>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</si>
  <si>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</si>
  <si>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</si>
  <si>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</si>
  <si>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</si>
  <si>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</si>
  <si>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</si>
  <si>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</si>
  <si>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</si>
  <si>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</si>
  <si>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</si>
  <si>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</si>
  <si>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</si>
  <si>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</si>
  <si>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</si>
  <si>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</si>
  <si>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</si>
  <si>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</si>
  <si>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</si>
  <si>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</si>
  <si>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</si>
  <si>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</si>
  <si>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</si>
  <si>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</si>
  <si>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</si>
  <si>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</si>
  <si>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</si>
  <si>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</si>
  <si>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</si>
  <si>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</si>
  <si>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</si>
  <si>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</si>
  <si>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</si>
  <si>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</si>
  <si>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</si>
  <si>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</si>
  <si>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</si>
  <si>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</si>
  <si>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</si>
  <si>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</si>
  <si>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</si>
  <si>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</si>
  <si>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</si>
  <si>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</si>
  <si>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</si>
  <si>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</si>
  <si>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</si>
  <si>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</si>
  <si>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</si>
  <si>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</si>
  <si>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</si>
  <si>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</si>
  <si>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</si>
  <si>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</si>
  <si>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</si>
  <si>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</si>
  <si>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</si>
  <si>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</si>
  <si>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</si>
  <si>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</si>
  <si>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</si>
  <si>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</si>
  <si>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</si>
  <si>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</si>
  <si>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</si>
  <si>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</si>
  <si>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</si>
  <si>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</si>
  <si>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</si>
  <si>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</si>
  <si>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</si>
  <si>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</si>
  <si>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</si>
  <si>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</si>
  <si>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</si>
  <si>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</si>
  <si>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</si>
  <si>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</si>
  <si>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</si>
  <si>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</si>
  <si>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</si>
  <si>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</si>
  <si>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</si>
  <si>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</si>
  <si>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</si>
  <si>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</si>
  <si>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</si>
  <si>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</si>
  <si>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</si>
  <si>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</si>
  <si>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</si>
  <si>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</si>
  <si>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</si>
  <si>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</si>
  <si>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</si>
  <si>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</si>
  <si>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</si>
  <si>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</si>
  <si>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</si>
  <si>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</si>
  <si>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</si>
  <si>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</si>
  <si>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</si>
  <si>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</si>
  <si>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</si>
  <si>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</si>
  <si>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</si>
  <si>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</si>
  <si>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</si>
  <si>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</si>
  <si>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</si>
  <si>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</si>
  <si>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</si>
  <si>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</si>
  <si>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</si>
  <si>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</si>
  <si>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</si>
  <si>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</si>
  <si>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</si>
  <si>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</si>
  <si>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</si>
  <si>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</si>
  <si>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</si>
  <si>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</si>
  <si>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</si>
  <si>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</si>
  <si>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</si>
  <si>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</si>
  <si>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</si>
  <si>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</si>
  <si>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</si>
  <si>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</si>
  <si>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</si>
  <si>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</si>
  <si>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</si>
  <si>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</si>
  <si>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</si>
  <si>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</si>
  <si>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</si>
  <si>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</si>
  <si>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</si>
  <si>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</si>
  <si>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</si>
  <si>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</si>
  <si>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</si>
  <si>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</si>
  <si>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</si>
  <si>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</si>
  <si>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</si>
  <si>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</si>
  <si>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</si>
  <si>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</si>
  <si>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</si>
  <si>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</si>
  <si>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</si>
  <si>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</si>
  <si>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</si>
  <si>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</si>
  <si>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</si>
  <si>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</si>
  <si>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</si>
  <si>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</si>
  <si>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</si>
  <si>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</si>
  <si>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</si>
  <si>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</si>
  <si>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</si>
  <si>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</si>
  <si>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</si>
  <si>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</si>
  <si>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</si>
  <si>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</si>
  <si>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</si>
  <si>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</si>
  <si>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</si>
  <si>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</si>
  <si>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</si>
  <si>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</si>
  <si>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</si>
  <si>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</si>
  <si>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</si>
  <si>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</si>
  <si>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</si>
  <si>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</si>
  <si>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</si>
  <si>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</si>
  <si>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</si>
  <si>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</si>
  <si>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</si>
  <si>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</si>
  <si>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</si>
  <si>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</si>
  <si>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</si>
  <si>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</si>
  <si>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</si>
  <si>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</si>
  <si>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</si>
  <si>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</si>
  <si>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</si>
  <si>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</si>
  <si>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</si>
  <si>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</si>
  <si>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</si>
  <si>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</si>
  <si>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</si>
  <si>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</si>
  <si>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</si>
  <si>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</si>
  <si>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</si>
  <si>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</si>
  <si>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</si>
  <si>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</si>
  <si>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</si>
  <si>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</si>
  <si>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</si>
  <si>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</si>
  <si>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</si>
  <si>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</si>
  <si>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</si>
  <si>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</si>
  <si>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</si>
  <si>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</si>
  <si>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</si>
  <si>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</si>
  <si>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</si>
  <si>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</si>
  <si>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</si>
  <si>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</si>
  <si>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</si>
  <si>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</si>
  <si>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</si>
  <si>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</si>
  <si>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</si>
  <si>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</si>
  <si>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</si>
  <si>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</si>
  <si>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</si>
  <si>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</si>
  <si>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</si>
  <si>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</si>
  <si>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</si>
  <si>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</si>
  <si>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</si>
  <si>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</si>
  <si>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</si>
  <si>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</si>
  <si>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</si>
  <si>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</si>
  <si>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</si>
  <si>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</si>
  <si>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</si>
  <si>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</si>
  <si>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</si>
  <si>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</si>
  <si>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</si>
  <si>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</si>
  <si>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</si>
  <si>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</si>
  <si>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</si>
  <si>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</si>
  <si>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</si>
  <si>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</si>
  <si>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</si>
  <si>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</si>
  <si>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</si>
  <si>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</si>
  <si>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</si>
  <si>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</si>
  <si>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</si>
  <si>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</si>
  <si>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</si>
  <si>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</si>
  <si>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</si>
  <si>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</si>
  <si>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</si>
  <si>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</si>
  <si>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</si>
  <si>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</si>
  <si>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</si>
  <si>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</si>
  <si>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</si>
  <si>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</si>
  <si>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</si>
  <si>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</si>
  <si>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</si>
  <si>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</si>
  <si>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</si>
  <si>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</si>
  <si>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</si>
  <si>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</si>
  <si>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</si>
  <si>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</si>
  <si>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</si>
  <si>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</si>
  <si>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</si>
  <si>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</si>
  <si>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</si>
  <si>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</si>
  <si>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</si>
  <si>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</si>
  <si>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</si>
  <si>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</si>
  <si>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</si>
  <si>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</si>
  <si>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</si>
  <si>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</si>
  <si>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</si>
  <si>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</si>
  <si>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</si>
  <si>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</si>
  <si>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</si>
  <si>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</si>
  <si>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</si>
  <si>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</si>
  <si>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</si>
  <si>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</si>
  <si>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</si>
  <si>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</si>
  <si>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</si>
  <si>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</si>
  <si>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</si>
  <si>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</si>
  <si>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</si>
  <si>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</si>
  <si>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</si>
  <si>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</si>
  <si>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</si>
  <si>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</si>
  <si>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</si>
  <si>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</si>
  <si>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</si>
  <si>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</si>
  <si>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</si>
  <si>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</si>
  <si>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</si>
  <si>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</si>
  <si>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</si>
  <si>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</si>
  <si>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</si>
  <si>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</si>
  <si>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</si>
  <si>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</si>
  <si>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</si>
  <si>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</si>
  <si>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</si>
  <si>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</si>
  <si>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</si>
  <si>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</si>
  <si>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</si>
  <si>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</si>
  <si>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</si>
  <si>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</si>
  <si>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</si>
  <si>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</si>
  <si>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</si>
  <si>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</si>
  <si>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</si>
  <si>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</si>
  <si>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</si>
  <si>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</si>
  <si>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</si>
  <si>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</si>
  <si>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</si>
  <si>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</si>
  <si>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</si>
  <si>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</si>
  <si>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</si>
  <si>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</si>
  <si>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</si>
  <si>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</si>
  <si>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</si>
  <si>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</si>
  <si>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</si>
  <si>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</si>
  <si>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</si>
  <si>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</si>
  <si>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</si>
  <si>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</si>
  <si>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</si>
  <si>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</si>
  <si>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</si>
  <si>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</si>
  <si>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</si>
  <si>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</si>
  <si>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</si>
  <si>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</si>
  <si>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</si>
  <si>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</si>
  <si>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</si>
  <si>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</si>
  <si>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</si>
  <si>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</si>
  <si>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</si>
  <si>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</si>
  <si>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</si>
  <si>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</si>
  <si>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</si>
  <si>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</si>
  <si>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</si>
  <si>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</si>
  <si>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</si>
  <si>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</si>
  <si>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</si>
  <si>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</si>
  <si>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</si>
  <si>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</si>
  <si>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</si>
  <si>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</si>
  <si>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</si>
  <si>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</si>
  <si>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</si>
  <si>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</si>
  <si>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</si>
  <si>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</si>
  <si>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</si>
  <si>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</si>
  <si>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</si>
  <si>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</si>
  <si>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</si>
  <si>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</si>
  <si>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</si>
  <si>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</si>
  <si>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</si>
  <si>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</si>
  <si>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</si>
  <si>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</si>
  <si>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</si>
  <si>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</si>
  <si>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</si>
  <si>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</si>
  <si>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</si>
  <si>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</si>
  <si>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</si>
  <si>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</si>
  <si>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</si>
  <si>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</si>
  <si>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</si>
  <si>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</si>
  <si>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</si>
  <si>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</si>
  <si>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</si>
  <si>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</si>
  <si>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</si>
  <si>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</si>
  <si>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</si>
  <si>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</si>
  <si>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</si>
  <si>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</si>
  <si>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</si>
  <si>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</si>
  <si>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</si>
  <si>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</si>
  <si>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</si>
  <si>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</si>
  <si>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</si>
  <si>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</si>
  <si>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</si>
  <si>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</si>
  <si>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</si>
  <si>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</si>
  <si>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</si>
  <si>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</si>
  <si>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</si>
  <si>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</si>
  <si>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</si>
  <si>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</si>
  <si>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</si>
  <si>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</si>
  <si>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</si>
  <si>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</si>
  <si>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</si>
  <si>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</si>
  <si>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</si>
  <si>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</si>
  <si>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</si>
  <si>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</si>
  <si>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</si>
  <si>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</si>
  <si>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</si>
  <si>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</si>
  <si>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</si>
  <si>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</si>
  <si>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</si>
  <si>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</si>
  <si>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</si>
  <si>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</si>
  <si>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</si>
  <si>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</si>
  <si>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</si>
  <si>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</si>
  <si>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</si>
  <si>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</si>
  <si>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</si>
  <si>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</si>
  <si>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</si>
  <si>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</si>
  <si>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</si>
  <si>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</si>
  <si>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</si>
  <si>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</si>
  <si>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</si>
  <si>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</si>
  <si>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</si>
  <si>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</si>
  <si>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</si>
  <si>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</si>
  <si>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</si>
  <si>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</si>
  <si>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</si>
  <si>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</si>
  <si>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</si>
  <si>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</si>
  <si>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</si>
  <si>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</si>
  <si>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</si>
  <si>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</si>
  <si>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</si>
  <si>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</si>
  <si>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بدهی به مهدی 8/2/1398</t>
  </si>
  <si>
    <t>واریز 1.4 میلیون حساب علی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</si>
</sst>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abSelected="1" workbookViewId="0">
      <selection activeCell="C3" sqref="C3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5034</v>
      </c>
      <c r="B1" s="99" t="s">
        <v>5035</v>
      </c>
      <c r="C1" s="99" t="s">
        <v>5036</v>
      </c>
      <c r="D1" s="99" t="s">
        <v>5037</v>
      </c>
      <c r="E1" s="99" t="s">
        <v>5047</v>
      </c>
      <c r="F1" s="99" t="s">
        <v>5046</v>
      </c>
      <c r="G1" s="99"/>
      <c r="I1" t="s">
        <v>5039</v>
      </c>
      <c r="J1" t="s">
        <v>5043</v>
      </c>
      <c r="K1" t="s">
        <v>5044</v>
      </c>
    </row>
    <row r="2" spans="1:11">
      <c r="A2" s="99" t="s">
        <v>5038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5040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5038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5050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67.972899598123348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5015</v>
      </c>
      <c r="E1" t="s">
        <v>5016</v>
      </c>
      <c r="F1" t="s">
        <v>8</v>
      </c>
    </row>
    <row r="2" spans="1:6">
      <c r="A2" t="s">
        <v>5019</v>
      </c>
      <c r="B2">
        <v>237</v>
      </c>
      <c r="C2">
        <v>281</v>
      </c>
      <c r="D2">
        <f>B2/C2</f>
        <v>0.84341637010676151</v>
      </c>
      <c r="E2" t="s">
        <v>5020</v>
      </c>
      <c r="F2" t="s">
        <v>5021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5020</v>
      </c>
      <c r="F3" s="96" t="s">
        <v>5021</v>
      </c>
    </row>
    <row r="4" spans="1:6">
      <c r="A4" t="s">
        <v>5022</v>
      </c>
      <c r="B4">
        <v>195</v>
      </c>
      <c r="C4">
        <v>73</v>
      </c>
      <c r="D4" s="96">
        <f t="shared" si="0"/>
        <v>2.6712328767123288</v>
      </c>
      <c r="E4" t="s">
        <v>5023</v>
      </c>
      <c r="F4" t="s">
        <v>5024</v>
      </c>
    </row>
    <row r="5" spans="1:6">
      <c r="A5" t="s">
        <v>5025</v>
      </c>
      <c r="B5">
        <v>1</v>
      </c>
      <c r="C5">
        <v>1</v>
      </c>
      <c r="D5" s="96">
        <f t="shared" si="0"/>
        <v>1</v>
      </c>
      <c r="E5" t="s">
        <v>5023</v>
      </c>
      <c r="F5" t="s">
        <v>5026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5021</v>
      </c>
    </row>
    <row r="7" spans="1:6">
      <c r="A7" t="s">
        <v>5027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5028</v>
      </c>
      <c r="B8">
        <v>335</v>
      </c>
      <c r="C8">
        <v>141</v>
      </c>
      <c r="D8" s="96">
        <f t="shared" si="0"/>
        <v>2.375886524822695</v>
      </c>
      <c r="F8" s="96" t="s">
        <v>5026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5029</v>
      </c>
    </row>
    <row r="10" spans="1:6">
      <c r="A10" t="s">
        <v>5030</v>
      </c>
      <c r="B10">
        <v>187</v>
      </c>
      <c r="C10">
        <v>208</v>
      </c>
      <c r="D10" s="96">
        <f t="shared" si="0"/>
        <v>0.89903846153846156</v>
      </c>
      <c r="F10" t="s">
        <v>5020</v>
      </c>
    </row>
    <row r="11" spans="1:6">
      <c r="A11" t="s">
        <v>5031</v>
      </c>
      <c r="B11">
        <v>412</v>
      </c>
      <c r="C11">
        <v>183</v>
      </c>
      <c r="D11" s="96">
        <f t="shared" si="0"/>
        <v>2.2513661202185791</v>
      </c>
      <c r="F11" s="96" t="s">
        <v>5026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5014</v>
      </c>
      <c r="B21">
        <v>113</v>
      </c>
      <c r="C21">
        <v>215</v>
      </c>
      <c r="D21" s="96">
        <f t="shared" si="0"/>
        <v>0.52558139534883719</v>
      </c>
      <c r="E21" t="s">
        <v>5017</v>
      </c>
      <c r="F21" t="s">
        <v>5018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6" sqref="E56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4938</v>
      </c>
      <c r="B4" s="18">
        <v>-960200</v>
      </c>
      <c r="C4" s="18">
        <v>0</v>
      </c>
      <c r="D4" s="113">
        <f t="shared" si="0"/>
        <v>-960200</v>
      </c>
      <c r="E4" s="99" t="s">
        <v>4945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3186124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4898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4913</v>
      </c>
      <c r="B341" s="18">
        <v>433375</v>
      </c>
      <c r="C341" s="18">
        <v>0</v>
      </c>
      <c r="D341" s="18">
        <f t="shared" si="18"/>
        <v>433375</v>
      </c>
      <c r="E341" s="99" t="s">
        <v>4918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4924</v>
      </c>
      <c r="B343" s="18">
        <v>-300000</v>
      </c>
      <c r="C343" s="18">
        <v>0</v>
      </c>
      <c r="D343" s="18">
        <f t="shared" si="18"/>
        <v>-300000</v>
      </c>
      <c r="E343" s="99" t="s">
        <v>4927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4938</v>
      </c>
      <c r="B347" s="18">
        <v>-960200</v>
      </c>
      <c r="C347" s="18">
        <v>0</v>
      </c>
      <c r="D347" s="18">
        <f t="shared" si="18"/>
        <v>-960200</v>
      </c>
      <c r="E347" s="99" t="s">
        <v>4945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J280" sqref="J280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1061</v>
      </c>
      <c r="E2" s="11">
        <f>IF(B2&gt;0,1,0)</f>
        <v>1</v>
      </c>
      <c r="F2" s="11">
        <f>B2*(D2-E2)</f>
        <v>102502000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1059</v>
      </c>
      <c r="E3" s="11">
        <f t="shared" ref="E3:E66" si="1">IF(B3&gt;0,1,0)</f>
        <v>1</v>
      </c>
      <c r="F3" s="11">
        <f t="shared" ref="F3:F66" si="2">B3*(D3-E3)</f>
        <v>3174000000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1056</v>
      </c>
      <c r="E4" s="11">
        <f t="shared" si="1"/>
        <v>0</v>
      </c>
      <c r="F4" s="11">
        <f t="shared" si="2"/>
        <v>-211200000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1054</v>
      </c>
      <c r="E5" s="11">
        <f t="shared" si="1"/>
        <v>0</v>
      </c>
      <c r="F5" s="11">
        <f t="shared" si="2"/>
        <v>-105400000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1053</v>
      </c>
      <c r="E6" s="11">
        <f t="shared" si="1"/>
        <v>0</v>
      </c>
      <c r="F6" s="11">
        <f t="shared" si="2"/>
        <v>-57915000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1052</v>
      </c>
      <c r="E7" s="11">
        <f t="shared" si="1"/>
        <v>0</v>
      </c>
      <c r="F7" s="11">
        <f t="shared" si="2"/>
        <v>-210400000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1048</v>
      </c>
      <c r="E8" s="11">
        <f t="shared" si="1"/>
        <v>0</v>
      </c>
      <c r="F8" s="11">
        <f t="shared" si="2"/>
        <v>-209600000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1038</v>
      </c>
      <c r="E9" s="11">
        <f t="shared" si="1"/>
        <v>0</v>
      </c>
      <c r="F9" s="11">
        <f t="shared" si="2"/>
        <v>-986619000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1037</v>
      </c>
      <c r="E10" s="11">
        <f t="shared" si="1"/>
        <v>1</v>
      </c>
      <c r="F10" s="11">
        <f t="shared" si="2"/>
        <v>2072000000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1035</v>
      </c>
      <c r="E11" s="11">
        <f t="shared" si="1"/>
        <v>0</v>
      </c>
      <c r="F11" s="11">
        <f t="shared" si="2"/>
        <v>-1102275000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1032</v>
      </c>
      <c r="E12" s="11">
        <f t="shared" si="1"/>
        <v>0</v>
      </c>
      <c r="F12" s="11">
        <f t="shared" si="2"/>
        <v>-46440000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1031</v>
      </c>
      <c r="E13" s="11">
        <f t="shared" si="1"/>
        <v>0</v>
      </c>
      <c r="F13" s="11">
        <f t="shared" si="2"/>
        <v>-2062721700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1027</v>
      </c>
      <c r="E14" s="11">
        <f t="shared" si="1"/>
        <v>0</v>
      </c>
      <c r="F14" s="11">
        <f t="shared" si="2"/>
        <v>-205400000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1025</v>
      </c>
      <c r="E15" s="11">
        <f t="shared" si="1"/>
        <v>1</v>
      </c>
      <c r="F15" s="11">
        <f t="shared" si="2"/>
        <v>2048000000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1025</v>
      </c>
      <c r="E16" s="11">
        <f t="shared" si="1"/>
        <v>1</v>
      </c>
      <c r="F16" s="11">
        <f t="shared" si="2"/>
        <v>2048000000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1025</v>
      </c>
      <c r="E17" s="11">
        <f t="shared" si="1"/>
        <v>1</v>
      </c>
      <c r="F17" s="11">
        <f t="shared" si="2"/>
        <v>1228800000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1025</v>
      </c>
      <c r="E18" s="11">
        <f t="shared" si="1"/>
        <v>1</v>
      </c>
      <c r="F18" s="11">
        <f t="shared" si="2"/>
        <v>1024000000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1024</v>
      </c>
      <c r="E19" s="11">
        <f t="shared" si="1"/>
        <v>1</v>
      </c>
      <c r="F19" s="11">
        <f t="shared" si="2"/>
        <v>3069000000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1024</v>
      </c>
      <c r="E20" s="11">
        <f t="shared" si="1"/>
        <v>0</v>
      </c>
      <c r="F20" s="11">
        <f t="shared" si="2"/>
        <v>-443084800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1024</v>
      </c>
      <c r="E21" s="11">
        <f t="shared" si="1"/>
        <v>0</v>
      </c>
      <c r="F21" s="11">
        <f t="shared" si="2"/>
        <v>-443084800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1024</v>
      </c>
      <c r="E22" s="11">
        <f t="shared" si="1"/>
        <v>0</v>
      </c>
      <c r="F22" s="11">
        <f t="shared" si="2"/>
        <v>-443084800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1024</v>
      </c>
      <c r="E23" s="11">
        <f t="shared" si="1"/>
        <v>0</v>
      </c>
      <c r="F23" s="11">
        <f t="shared" si="2"/>
        <v>-443084800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1024</v>
      </c>
      <c r="E24" s="11">
        <f t="shared" si="1"/>
        <v>0</v>
      </c>
      <c r="F24" s="11">
        <f t="shared" si="2"/>
        <v>-443084800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1024</v>
      </c>
      <c r="E25" s="11">
        <f t="shared" si="1"/>
        <v>0</v>
      </c>
      <c r="F25" s="11">
        <f t="shared" si="2"/>
        <v>-204800000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1023</v>
      </c>
      <c r="E26" s="11">
        <f t="shared" si="1"/>
        <v>1</v>
      </c>
      <c r="F26" s="11">
        <f t="shared" si="2"/>
        <v>3066000000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1021</v>
      </c>
      <c r="E27" s="11">
        <f t="shared" si="1"/>
        <v>0</v>
      </c>
      <c r="F27" s="11">
        <f t="shared" si="2"/>
        <v>-204200000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1020</v>
      </c>
      <c r="E28" s="11">
        <f t="shared" si="1"/>
        <v>1</v>
      </c>
      <c r="F28" s="11">
        <f t="shared" si="2"/>
        <v>2038000000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1019</v>
      </c>
      <c r="E29" s="11">
        <f t="shared" si="1"/>
        <v>0</v>
      </c>
      <c r="F29" s="11">
        <f t="shared" si="2"/>
        <v>-7133815200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1018</v>
      </c>
      <c r="E30" s="11">
        <f t="shared" si="1"/>
        <v>0</v>
      </c>
      <c r="F30" s="11">
        <f t="shared" si="2"/>
        <v>-3054916200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1017</v>
      </c>
      <c r="E31" s="11">
        <f t="shared" si="1"/>
        <v>0</v>
      </c>
      <c r="F31" s="11">
        <f t="shared" si="2"/>
        <v>-1724730300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1014</v>
      </c>
      <c r="E32" s="11">
        <f t="shared" si="1"/>
        <v>1</v>
      </c>
      <c r="F32" s="11">
        <f t="shared" si="2"/>
        <v>1007225900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1008</v>
      </c>
      <c r="E33" s="11">
        <f t="shared" si="1"/>
        <v>1</v>
      </c>
      <c r="F33" s="11">
        <f t="shared" si="2"/>
        <v>35336637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1007</v>
      </c>
      <c r="E34" s="11">
        <f t="shared" si="1"/>
        <v>0</v>
      </c>
      <c r="F34" s="11">
        <f t="shared" si="2"/>
        <v>-855950000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999</v>
      </c>
      <c r="E35" s="11">
        <f t="shared" si="1"/>
        <v>0</v>
      </c>
      <c r="F35" s="11">
        <f t="shared" si="2"/>
        <v>-190309500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998</v>
      </c>
      <c r="E36" s="11">
        <f t="shared" si="1"/>
        <v>1</v>
      </c>
      <c r="F36" s="11">
        <f t="shared" si="2"/>
        <v>199400000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998</v>
      </c>
      <c r="E37" s="11">
        <f t="shared" si="1"/>
        <v>0</v>
      </c>
      <c r="F37" s="11">
        <f t="shared" si="2"/>
        <v>-199600000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976</v>
      </c>
      <c r="E38" s="11">
        <f t="shared" si="1"/>
        <v>1</v>
      </c>
      <c r="F38" s="11">
        <f t="shared" si="2"/>
        <v>293285850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975</v>
      </c>
      <c r="E39" s="11">
        <f t="shared" si="1"/>
        <v>0</v>
      </c>
      <c r="F39" s="11">
        <f t="shared" si="2"/>
        <v>-92625000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975</v>
      </c>
      <c r="E40" s="11">
        <f t="shared" si="1"/>
        <v>0</v>
      </c>
      <c r="F40" s="11">
        <f t="shared" si="2"/>
        <v>-85900425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970</v>
      </c>
      <c r="E41" s="11">
        <f t="shared" si="1"/>
        <v>0</v>
      </c>
      <c r="F41" s="11">
        <f t="shared" si="2"/>
        <v>-116400000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948</v>
      </c>
      <c r="E42" s="11">
        <f t="shared" si="1"/>
        <v>1</v>
      </c>
      <c r="F42" s="11">
        <f t="shared" si="2"/>
        <v>947193188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944</v>
      </c>
      <c r="E43" s="11">
        <f t="shared" si="1"/>
        <v>0</v>
      </c>
      <c r="F43" s="11">
        <f t="shared" si="2"/>
        <v>-75520000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940</v>
      </c>
      <c r="E44" s="11">
        <f t="shared" si="1"/>
        <v>0</v>
      </c>
      <c r="F44" s="11">
        <f t="shared" si="2"/>
        <v>-198367260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939</v>
      </c>
      <c r="E45" s="11">
        <f t="shared" si="1"/>
        <v>0</v>
      </c>
      <c r="F45" s="11">
        <f t="shared" si="2"/>
        <v>-187800000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938</v>
      </c>
      <c r="E46" s="11">
        <f t="shared" si="1"/>
        <v>0</v>
      </c>
      <c r="F46" s="11">
        <f t="shared" si="2"/>
        <v>-89110000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936</v>
      </c>
      <c r="E47" s="11">
        <f t="shared" si="1"/>
        <v>0</v>
      </c>
      <c r="F47" s="11">
        <f t="shared" si="2"/>
        <v>-42120000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936</v>
      </c>
      <c r="E48" s="11">
        <f t="shared" si="1"/>
        <v>0</v>
      </c>
      <c r="F48" s="11">
        <f t="shared" si="2"/>
        <v>-60072480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933</v>
      </c>
      <c r="E49" s="11">
        <f t="shared" si="1"/>
        <v>0</v>
      </c>
      <c r="F49" s="11">
        <f t="shared" si="2"/>
        <v>-25642572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932</v>
      </c>
      <c r="E50" s="11">
        <f t="shared" si="1"/>
        <v>0</v>
      </c>
      <c r="F50" s="11">
        <f t="shared" si="2"/>
        <v>-131412000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932</v>
      </c>
      <c r="E51" s="11">
        <f t="shared" si="1"/>
        <v>0</v>
      </c>
      <c r="F51" s="11">
        <f t="shared" si="2"/>
        <v>-24927272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931</v>
      </c>
      <c r="E52" s="11">
        <f t="shared" si="1"/>
        <v>0</v>
      </c>
      <c r="F52" s="11">
        <f t="shared" si="2"/>
        <v>-49622300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930</v>
      </c>
      <c r="E53" s="11">
        <f t="shared" si="1"/>
        <v>1</v>
      </c>
      <c r="F53" s="11">
        <f t="shared" si="2"/>
        <v>929000000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924</v>
      </c>
      <c r="E54" s="11">
        <f t="shared" si="1"/>
        <v>0</v>
      </c>
      <c r="F54" s="11">
        <f t="shared" si="2"/>
        <v>-19404000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923</v>
      </c>
      <c r="E55" s="11">
        <f t="shared" si="1"/>
        <v>0</v>
      </c>
      <c r="F55" s="11">
        <f t="shared" si="2"/>
        <v>-905001500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923</v>
      </c>
      <c r="E56" s="11">
        <f t="shared" si="1"/>
        <v>0</v>
      </c>
      <c r="F56" s="11">
        <f t="shared" si="2"/>
        <v>-41535000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910</v>
      </c>
      <c r="E57" s="11">
        <f t="shared" si="1"/>
        <v>1</v>
      </c>
      <c r="F57" s="11">
        <f t="shared" si="2"/>
        <v>2731716801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910</v>
      </c>
      <c r="E58" s="11">
        <f t="shared" si="1"/>
        <v>1</v>
      </c>
      <c r="F58" s="11">
        <f t="shared" si="2"/>
        <v>1818000000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909</v>
      </c>
      <c r="E59" s="11">
        <f t="shared" si="1"/>
        <v>1</v>
      </c>
      <c r="F59" s="11">
        <f t="shared" si="2"/>
        <v>1816000000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909</v>
      </c>
      <c r="E60" s="11">
        <f t="shared" si="1"/>
        <v>0</v>
      </c>
      <c r="F60" s="11">
        <f t="shared" si="2"/>
        <v>-6364363500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885</v>
      </c>
      <c r="E61" s="11">
        <f t="shared" si="1"/>
        <v>1</v>
      </c>
      <c r="F61" s="11">
        <f t="shared" si="2"/>
        <v>2652000000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884</v>
      </c>
      <c r="E62" s="11">
        <f t="shared" si="1"/>
        <v>0</v>
      </c>
      <c r="F62" s="11">
        <f t="shared" si="2"/>
        <v>-23964356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884</v>
      </c>
      <c r="E63" s="11">
        <f t="shared" si="1"/>
        <v>0</v>
      </c>
      <c r="F63" s="11">
        <f t="shared" si="2"/>
        <v>-29162276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884</v>
      </c>
      <c r="E64" s="11">
        <f t="shared" si="1"/>
        <v>1</v>
      </c>
      <c r="F64" s="11">
        <f t="shared" si="2"/>
        <v>2649000000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884</v>
      </c>
      <c r="E65" s="11">
        <f t="shared" si="1"/>
        <v>1</v>
      </c>
      <c r="F65" s="11">
        <f t="shared" si="2"/>
        <v>2622510000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884</v>
      </c>
      <c r="E66" s="11">
        <f t="shared" si="1"/>
        <v>1</v>
      </c>
      <c r="F66" s="11">
        <f t="shared" si="2"/>
        <v>883000000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884</v>
      </c>
      <c r="E67" s="11">
        <f t="shared" ref="E67:E130" si="4">IF(B67&gt;0,1,0)</f>
        <v>1</v>
      </c>
      <c r="F67" s="11">
        <f t="shared" ref="F67:F248" si="5">B67*(D67-E67)</f>
        <v>26490000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883</v>
      </c>
      <c r="E68" s="11">
        <f t="shared" si="4"/>
        <v>1</v>
      </c>
      <c r="F68" s="11">
        <f t="shared" si="5"/>
        <v>26460000000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882</v>
      </c>
      <c r="E69" s="11">
        <f t="shared" si="4"/>
        <v>0</v>
      </c>
      <c r="F69" s="11">
        <f t="shared" si="5"/>
        <v>-176400000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882</v>
      </c>
      <c r="E70" s="11">
        <f t="shared" si="4"/>
        <v>1</v>
      </c>
      <c r="F70" s="11">
        <f t="shared" si="5"/>
        <v>1233400000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882</v>
      </c>
      <c r="E71" s="11">
        <f t="shared" si="4"/>
        <v>1</v>
      </c>
      <c r="F71" s="11">
        <f t="shared" si="5"/>
        <v>2290600000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882</v>
      </c>
      <c r="E72" s="11">
        <f t="shared" si="4"/>
        <v>0</v>
      </c>
      <c r="F72" s="11">
        <f t="shared" si="5"/>
        <v>-882000000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880</v>
      </c>
      <c r="E73" s="11">
        <f t="shared" si="4"/>
        <v>1</v>
      </c>
      <c r="F73" s="11">
        <f t="shared" si="5"/>
        <v>13185000000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875</v>
      </c>
      <c r="E74" s="11">
        <f t="shared" si="4"/>
        <v>0</v>
      </c>
      <c r="F74" s="11">
        <f t="shared" si="5"/>
        <v>-13128675000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873</v>
      </c>
      <c r="E75" s="11">
        <f t="shared" si="4"/>
        <v>0</v>
      </c>
      <c r="F75" s="11">
        <f t="shared" si="5"/>
        <v>-2619000000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873</v>
      </c>
      <c r="E76" s="11">
        <f t="shared" si="4"/>
        <v>0</v>
      </c>
      <c r="F76" s="11">
        <f t="shared" si="5"/>
        <v>-174600000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873</v>
      </c>
      <c r="E77" s="11">
        <f t="shared" si="4"/>
        <v>0</v>
      </c>
      <c r="F77" s="11">
        <f t="shared" si="5"/>
        <v>-10478619000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869</v>
      </c>
      <c r="E78" s="11">
        <f t="shared" si="4"/>
        <v>0</v>
      </c>
      <c r="F78" s="11">
        <f t="shared" si="5"/>
        <v>-2607782100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864</v>
      </c>
      <c r="E79" s="11">
        <f t="shared" si="4"/>
        <v>1</v>
      </c>
      <c r="F79" s="11">
        <f t="shared" si="5"/>
        <v>19849000000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859</v>
      </c>
      <c r="E80" s="11">
        <f t="shared" si="4"/>
        <v>0</v>
      </c>
      <c r="F80" s="11">
        <f t="shared" si="5"/>
        <v>-515829500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859</v>
      </c>
      <c r="E81" s="11">
        <f t="shared" si="4"/>
        <v>0</v>
      </c>
      <c r="F81" s="11">
        <f t="shared" si="5"/>
        <v>-171800000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858</v>
      </c>
      <c r="E82" s="11">
        <f t="shared" si="4"/>
        <v>1</v>
      </c>
      <c r="F82" s="11">
        <f t="shared" si="5"/>
        <v>242720397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858</v>
      </c>
      <c r="E83" s="11">
        <f t="shared" si="4"/>
        <v>0</v>
      </c>
      <c r="F83" s="11">
        <f t="shared" si="5"/>
        <v>-171600000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856</v>
      </c>
      <c r="E84" s="11">
        <f t="shared" si="4"/>
        <v>1</v>
      </c>
      <c r="F84" s="11">
        <f t="shared" si="5"/>
        <v>1710000000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853</v>
      </c>
      <c r="E85" s="11">
        <f t="shared" si="4"/>
        <v>0</v>
      </c>
      <c r="F85" s="11">
        <f t="shared" si="5"/>
        <v>-170600000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847</v>
      </c>
      <c r="E86" s="11">
        <f t="shared" si="4"/>
        <v>0</v>
      </c>
      <c r="F86" s="11">
        <f t="shared" si="5"/>
        <v>-169400000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845</v>
      </c>
      <c r="E87" s="11">
        <f t="shared" si="4"/>
        <v>0</v>
      </c>
      <c r="F87" s="11">
        <f t="shared" si="5"/>
        <v>-1119625000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830</v>
      </c>
      <c r="E88" s="11">
        <f t="shared" si="4"/>
        <v>0</v>
      </c>
      <c r="F88" s="11">
        <f t="shared" si="5"/>
        <v>-415000000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830</v>
      </c>
      <c r="E89" s="11">
        <f t="shared" si="4"/>
        <v>0</v>
      </c>
      <c r="F89" s="11">
        <f t="shared" si="5"/>
        <v>-99600000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828</v>
      </c>
      <c r="E90" s="11">
        <f t="shared" si="4"/>
        <v>1</v>
      </c>
      <c r="F90" s="11">
        <f t="shared" si="5"/>
        <v>354125535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825</v>
      </c>
      <c r="E91" s="11">
        <f t="shared" si="4"/>
        <v>0</v>
      </c>
      <c r="F91" s="11">
        <f t="shared" si="5"/>
        <v>-2476650000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823</v>
      </c>
      <c r="E92" s="11">
        <f t="shared" si="4"/>
        <v>0</v>
      </c>
      <c r="F92" s="11">
        <f t="shared" si="5"/>
        <v>-168715000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823</v>
      </c>
      <c r="E93" s="11">
        <f t="shared" si="4"/>
        <v>0</v>
      </c>
      <c r="F93" s="11">
        <f t="shared" si="5"/>
        <v>-288461500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812</v>
      </c>
      <c r="E94" s="11">
        <f t="shared" si="4"/>
        <v>1</v>
      </c>
      <c r="F94" s="11">
        <f t="shared" si="5"/>
        <v>811000000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807</v>
      </c>
      <c r="E95" s="11">
        <f t="shared" si="4"/>
        <v>1</v>
      </c>
      <c r="F95" s="11">
        <f t="shared" si="5"/>
        <v>7254000000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805</v>
      </c>
      <c r="E96" s="11">
        <f t="shared" si="4"/>
        <v>0</v>
      </c>
      <c r="F96" s="11">
        <f t="shared" si="5"/>
        <v>-20930000000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805</v>
      </c>
      <c r="E97" s="11">
        <f t="shared" si="4"/>
        <v>0</v>
      </c>
      <c r="F97" s="11">
        <f t="shared" si="5"/>
        <v>-20930000000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805</v>
      </c>
      <c r="E98" s="11">
        <f t="shared" si="4"/>
        <v>1</v>
      </c>
      <c r="F98" s="11">
        <f t="shared" si="5"/>
        <v>20904000000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805</v>
      </c>
      <c r="E99" s="11">
        <f t="shared" si="4"/>
        <v>0</v>
      </c>
      <c r="F99" s="11">
        <f t="shared" si="5"/>
        <v>-161000000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803</v>
      </c>
      <c r="E100" s="11">
        <f t="shared" si="4"/>
        <v>1</v>
      </c>
      <c r="F100" s="11">
        <f t="shared" si="5"/>
        <v>23418400000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798</v>
      </c>
      <c r="E101" s="11">
        <f t="shared" si="4"/>
        <v>1</v>
      </c>
      <c r="F101" s="11">
        <f t="shared" si="5"/>
        <v>318756165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797</v>
      </c>
      <c r="E102" s="11">
        <f t="shared" si="4"/>
        <v>1</v>
      </c>
      <c r="F102" s="11">
        <f t="shared" si="5"/>
        <v>1592000000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796</v>
      </c>
      <c r="E103" s="11">
        <f t="shared" si="4"/>
        <v>1</v>
      </c>
      <c r="F103" s="11">
        <f t="shared" si="5"/>
        <v>5962500000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796</v>
      </c>
      <c r="E104" s="11">
        <f t="shared" si="4"/>
        <v>0</v>
      </c>
      <c r="F104" s="11">
        <f t="shared" si="5"/>
        <v>-52536000000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796</v>
      </c>
      <c r="E105" s="11">
        <f t="shared" si="4"/>
        <v>0</v>
      </c>
      <c r="F105" s="11">
        <f t="shared" si="5"/>
        <v>-115420000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794</v>
      </c>
      <c r="E106" s="11">
        <f t="shared" si="4"/>
        <v>1</v>
      </c>
      <c r="F106" s="11">
        <f t="shared" si="5"/>
        <v>4758000000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792</v>
      </c>
      <c r="E107" s="11">
        <f t="shared" si="4"/>
        <v>0</v>
      </c>
      <c r="F107" s="11">
        <f t="shared" si="5"/>
        <v>-4756672800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789</v>
      </c>
      <c r="E108" s="11">
        <f t="shared" si="4"/>
        <v>1</v>
      </c>
      <c r="F108" s="11">
        <f t="shared" si="5"/>
        <v>4728000000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777</v>
      </c>
      <c r="E109" s="11">
        <f t="shared" si="4"/>
        <v>0</v>
      </c>
      <c r="F109" s="11">
        <f t="shared" si="5"/>
        <v>-93240000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776</v>
      </c>
      <c r="E110" s="11">
        <f t="shared" si="4"/>
        <v>1</v>
      </c>
      <c r="F110" s="11">
        <f t="shared" si="5"/>
        <v>3100000000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775</v>
      </c>
      <c r="E111" s="11">
        <f t="shared" si="4"/>
        <v>1</v>
      </c>
      <c r="F111" s="11">
        <f t="shared" si="5"/>
        <v>2167200000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771</v>
      </c>
      <c r="E112" s="11">
        <f t="shared" si="4"/>
        <v>0</v>
      </c>
      <c r="F112" s="11">
        <f t="shared" si="5"/>
        <v>-154200000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770</v>
      </c>
      <c r="E113" s="11">
        <f t="shared" si="4"/>
        <v>1</v>
      </c>
      <c r="F113" s="11">
        <f t="shared" si="5"/>
        <v>55606390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753</v>
      </c>
      <c r="E114" s="11">
        <f t="shared" si="4"/>
        <v>0</v>
      </c>
      <c r="F114" s="11">
        <f t="shared" si="5"/>
        <v>-150600000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752</v>
      </c>
      <c r="E115" s="11">
        <f t="shared" si="4"/>
        <v>0</v>
      </c>
      <c r="F115" s="23">
        <f t="shared" si="5"/>
        <v>-8272000000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752</v>
      </c>
      <c r="E116" s="11">
        <f t="shared" si="4"/>
        <v>0</v>
      </c>
      <c r="F116" s="11">
        <f t="shared" si="5"/>
        <v>-150400000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750</v>
      </c>
      <c r="E117" s="11">
        <f t="shared" si="4"/>
        <v>0</v>
      </c>
      <c r="F117" s="11">
        <f t="shared" si="5"/>
        <v>-337875000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750</v>
      </c>
      <c r="E118" s="11">
        <f t="shared" si="4"/>
        <v>0</v>
      </c>
      <c r="F118" s="11">
        <f t="shared" si="5"/>
        <v>-150000000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744</v>
      </c>
      <c r="E119" s="11">
        <f t="shared" si="4"/>
        <v>0</v>
      </c>
      <c r="F119" s="11">
        <f t="shared" si="5"/>
        <v>-114985200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744</v>
      </c>
      <c r="E120" s="11">
        <f t="shared" si="4"/>
        <v>0</v>
      </c>
      <c r="F120" s="11">
        <f t="shared" si="5"/>
        <v>-238080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743</v>
      </c>
      <c r="E121" s="11">
        <f t="shared" si="4"/>
        <v>0</v>
      </c>
      <c r="F121" s="11">
        <f t="shared" si="5"/>
        <v>-320976000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737</v>
      </c>
      <c r="E122" s="11">
        <f t="shared" si="4"/>
        <v>1</v>
      </c>
      <c r="F122" s="11">
        <f t="shared" si="5"/>
        <v>54495648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716</v>
      </c>
      <c r="E123" s="11">
        <f t="shared" si="4"/>
        <v>0</v>
      </c>
      <c r="F123" s="11">
        <f t="shared" si="5"/>
        <v>-37232000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675</v>
      </c>
      <c r="E124" s="11">
        <f t="shared" si="4"/>
        <v>1</v>
      </c>
      <c r="F124" s="11">
        <f t="shared" si="5"/>
        <v>800038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674</v>
      </c>
      <c r="E125" s="11">
        <f t="shared" si="4"/>
        <v>1</v>
      </c>
      <c r="F125" s="11">
        <f t="shared" si="5"/>
        <v>1615200000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672</v>
      </c>
      <c r="E126" s="11">
        <f t="shared" si="4"/>
        <v>1</v>
      </c>
      <c r="F126" s="11">
        <f t="shared" si="5"/>
        <v>901018800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672</v>
      </c>
      <c r="E127" s="11">
        <f t="shared" si="4"/>
        <v>1</v>
      </c>
      <c r="F127" s="11">
        <f t="shared" si="5"/>
        <v>901018800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660</v>
      </c>
      <c r="E128" s="11">
        <f t="shared" si="4"/>
        <v>0</v>
      </c>
      <c r="F128" s="11">
        <f t="shared" si="5"/>
        <v>-132000000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658</v>
      </c>
      <c r="E129" s="11">
        <f t="shared" si="4"/>
        <v>0</v>
      </c>
      <c r="F129" s="11">
        <f>B129*(D129-E129)</f>
        <v>-10276644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657</v>
      </c>
      <c r="E130" s="11">
        <f t="shared" si="4"/>
        <v>0</v>
      </c>
      <c r="F130" s="11">
        <f t="shared" si="5"/>
        <v>-131400000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656</v>
      </c>
      <c r="E131" s="11">
        <f t="shared" ref="E131:E248" si="7">IF(B131&gt;0,1,0)</f>
        <v>0</v>
      </c>
      <c r="F131" s="11">
        <f t="shared" si="5"/>
        <v>-131200000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655</v>
      </c>
      <c r="E132" s="11">
        <f t="shared" si="7"/>
        <v>0</v>
      </c>
      <c r="F132" s="11">
        <f t="shared" si="5"/>
        <v>-255450000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655</v>
      </c>
      <c r="E133" s="11">
        <f t="shared" si="7"/>
        <v>0</v>
      </c>
      <c r="F133" s="11">
        <f t="shared" si="5"/>
        <v>-16047500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654</v>
      </c>
      <c r="E134" s="11">
        <f t="shared" si="7"/>
        <v>0</v>
      </c>
      <c r="F134" s="11">
        <f t="shared" si="5"/>
        <v>-62130000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650</v>
      </c>
      <c r="E135" s="11">
        <f t="shared" si="7"/>
        <v>0</v>
      </c>
      <c r="F135" s="11">
        <f t="shared" si="5"/>
        <v>-130000000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648</v>
      </c>
      <c r="E136" s="11">
        <f t="shared" si="7"/>
        <v>1</v>
      </c>
      <c r="F136" s="11">
        <f t="shared" si="5"/>
        <v>32350000000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647</v>
      </c>
      <c r="E137" s="11">
        <f t="shared" si="7"/>
        <v>1</v>
      </c>
      <c r="F137" s="11">
        <f t="shared" si="5"/>
        <v>7752000000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645</v>
      </c>
      <c r="E138" s="11">
        <f t="shared" si="7"/>
        <v>1</v>
      </c>
      <c r="F138" s="11">
        <f t="shared" si="5"/>
        <v>1288000000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644</v>
      </c>
      <c r="E139" s="11">
        <f t="shared" si="7"/>
        <v>1</v>
      </c>
      <c r="F139" s="11">
        <f t="shared" si="5"/>
        <v>56286934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631</v>
      </c>
      <c r="E140" s="11">
        <f t="shared" si="7"/>
        <v>0</v>
      </c>
      <c r="F140" s="11">
        <f t="shared" si="5"/>
        <v>-1893567900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630</v>
      </c>
      <c r="E141" s="11">
        <f t="shared" si="7"/>
        <v>0</v>
      </c>
      <c r="F141" s="11">
        <f t="shared" si="5"/>
        <v>-1890567000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613</v>
      </c>
      <c r="E142" s="11">
        <f t="shared" si="7"/>
        <v>1</v>
      </c>
      <c r="F142" s="11">
        <f t="shared" si="5"/>
        <v>368439300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613</v>
      </c>
      <c r="E143" s="11">
        <f t="shared" si="7"/>
        <v>0</v>
      </c>
      <c r="F143" s="11">
        <f t="shared" si="5"/>
        <v>-28198000000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582</v>
      </c>
      <c r="E144" s="11">
        <f t="shared" si="7"/>
        <v>1</v>
      </c>
      <c r="F144" s="11">
        <f t="shared" si="5"/>
        <v>89536167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581</v>
      </c>
      <c r="E145" s="11">
        <f t="shared" si="7"/>
        <v>1</v>
      </c>
      <c r="F145" s="11">
        <f t="shared" si="5"/>
        <v>1740000000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578</v>
      </c>
      <c r="E146" s="11">
        <f t="shared" si="7"/>
        <v>0</v>
      </c>
      <c r="F146" s="11">
        <f t="shared" si="5"/>
        <v>-115600000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573</v>
      </c>
      <c r="E147" s="11">
        <f t="shared" si="7"/>
        <v>0</v>
      </c>
      <c r="F147" s="11">
        <f t="shared" si="5"/>
        <v>-114600000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572</v>
      </c>
      <c r="E148" s="11">
        <f t="shared" si="7"/>
        <v>0</v>
      </c>
      <c r="F148" s="11">
        <f t="shared" si="5"/>
        <v>-114400000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568</v>
      </c>
      <c r="E149" s="11">
        <f t="shared" si="7"/>
        <v>0</v>
      </c>
      <c r="F149" s="11">
        <f t="shared" si="5"/>
        <v>-113600000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567</v>
      </c>
      <c r="E150" s="11">
        <f t="shared" si="7"/>
        <v>1</v>
      </c>
      <c r="F150" s="11">
        <f t="shared" si="5"/>
        <v>13625544400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565</v>
      </c>
      <c r="E151" s="11">
        <f t="shared" si="7"/>
        <v>0</v>
      </c>
      <c r="F151" s="11">
        <f t="shared" si="5"/>
        <v>-113000000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559</v>
      </c>
      <c r="E152" s="11">
        <f t="shared" si="7"/>
        <v>0</v>
      </c>
      <c r="F152" s="11">
        <f t="shared" si="5"/>
        <v>-16770000000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558</v>
      </c>
      <c r="E153" s="11">
        <f t="shared" si="7"/>
        <v>0</v>
      </c>
      <c r="F153" s="11">
        <f t="shared" si="5"/>
        <v>-29016000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558</v>
      </c>
      <c r="E154" s="11">
        <f t="shared" si="7"/>
        <v>0</v>
      </c>
      <c r="F154" s="11">
        <f t="shared" si="5"/>
        <v>-75888000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553</v>
      </c>
      <c r="E155" s="11">
        <f t="shared" si="7"/>
        <v>1</v>
      </c>
      <c r="F155" s="11">
        <f t="shared" si="5"/>
        <v>1656000000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552</v>
      </c>
      <c r="E156" s="11">
        <f t="shared" si="7"/>
        <v>1</v>
      </c>
      <c r="F156" s="11">
        <f t="shared" si="5"/>
        <v>104195753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552</v>
      </c>
      <c r="E157" s="11">
        <f t="shared" si="7"/>
        <v>1</v>
      </c>
      <c r="F157" s="11">
        <f t="shared" si="5"/>
        <v>13349462700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544</v>
      </c>
      <c r="E158" s="11">
        <f t="shared" si="7"/>
        <v>1</v>
      </c>
      <c r="F158" s="11">
        <f t="shared" si="5"/>
        <v>13192293600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544</v>
      </c>
      <c r="E159" s="11">
        <f t="shared" si="7"/>
        <v>0</v>
      </c>
      <c r="F159" s="11">
        <f t="shared" si="5"/>
        <v>-109344000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539</v>
      </c>
      <c r="E160" s="11">
        <f t="shared" si="7"/>
        <v>0</v>
      </c>
      <c r="F160" s="11">
        <f t="shared" si="5"/>
        <v>-107800000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536</v>
      </c>
      <c r="E161" s="11">
        <f t="shared" si="7"/>
        <v>0</v>
      </c>
      <c r="F161" s="11">
        <f t="shared" si="5"/>
        <v>-107200000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532</v>
      </c>
      <c r="E162" s="11">
        <f t="shared" si="7"/>
        <v>0</v>
      </c>
      <c r="F162" s="11">
        <f t="shared" si="5"/>
        <v>-106400000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529</v>
      </c>
      <c r="E163" s="11">
        <f t="shared" si="7"/>
        <v>0</v>
      </c>
      <c r="F163" s="11">
        <f t="shared" si="5"/>
        <v>-105800000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522</v>
      </c>
      <c r="E164" s="11">
        <f t="shared" si="7"/>
        <v>1</v>
      </c>
      <c r="F164" s="11">
        <f t="shared" si="5"/>
        <v>238448154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519</v>
      </c>
      <c r="E165" s="11">
        <f t="shared" si="7"/>
        <v>1</v>
      </c>
      <c r="F165" s="11">
        <f t="shared" si="5"/>
        <v>1398600000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519</v>
      </c>
      <c r="E166" s="11">
        <f t="shared" si="7"/>
        <v>1</v>
      </c>
      <c r="F166" s="11">
        <f t="shared" si="5"/>
        <v>1295000000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512</v>
      </c>
      <c r="E167" s="11">
        <f t="shared" si="7"/>
        <v>0</v>
      </c>
      <c r="F167" s="11">
        <f t="shared" si="5"/>
        <v>-102400000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510</v>
      </c>
      <c r="E168" s="11">
        <f t="shared" si="7"/>
        <v>0</v>
      </c>
      <c r="F168" s="11">
        <f t="shared" si="5"/>
        <v>-102000000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504</v>
      </c>
      <c r="E169" s="11">
        <f t="shared" si="7"/>
        <v>0</v>
      </c>
      <c r="F169" s="11">
        <f t="shared" si="5"/>
        <v>-100800000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501</v>
      </c>
      <c r="E170" s="11">
        <f t="shared" si="7"/>
        <v>0</v>
      </c>
      <c r="F170" s="11">
        <f t="shared" si="5"/>
        <v>-100200000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501</v>
      </c>
      <c r="E171" s="11">
        <f t="shared" si="7"/>
        <v>1</v>
      </c>
      <c r="F171" s="11">
        <f t="shared" si="5"/>
        <v>1500000000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498</v>
      </c>
      <c r="E172" s="11">
        <f t="shared" si="7"/>
        <v>0</v>
      </c>
      <c r="F172" s="11">
        <f t="shared" si="5"/>
        <v>-99600000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497</v>
      </c>
      <c r="E173" s="11">
        <f t="shared" si="7"/>
        <v>1</v>
      </c>
      <c r="F173" s="11">
        <f t="shared" si="5"/>
        <v>1488000000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496</v>
      </c>
      <c r="E174" s="11">
        <f t="shared" si="7"/>
        <v>1</v>
      </c>
      <c r="F174" s="11">
        <f t="shared" si="5"/>
        <v>990000000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495</v>
      </c>
      <c r="E175" s="11">
        <f t="shared" si="7"/>
        <v>1</v>
      </c>
      <c r="F175" s="11">
        <f t="shared" si="5"/>
        <v>642200000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493</v>
      </c>
      <c r="E176" s="11">
        <f t="shared" si="7"/>
        <v>0</v>
      </c>
      <c r="F176" s="11">
        <f t="shared" si="5"/>
        <v>-98600000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493</v>
      </c>
      <c r="E177" s="11">
        <f t="shared" si="7"/>
        <v>1</v>
      </c>
      <c r="F177" s="11">
        <f t="shared" si="5"/>
        <v>836400000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492</v>
      </c>
      <c r="E178" s="11">
        <f t="shared" si="7"/>
        <v>0</v>
      </c>
      <c r="F178" s="11">
        <f t="shared" si="5"/>
        <v>-98400000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491</v>
      </c>
      <c r="E179" s="11">
        <f t="shared" si="7"/>
        <v>1</v>
      </c>
      <c r="F179" s="11">
        <f t="shared" si="5"/>
        <v>280031080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488</v>
      </c>
      <c r="E180" s="11">
        <f t="shared" si="7"/>
        <v>1</v>
      </c>
      <c r="F180" s="11">
        <f t="shared" si="5"/>
        <v>1461000000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481</v>
      </c>
      <c r="E181" s="11">
        <f t="shared" si="7"/>
        <v>1</v>
      </c>
      <c r="F181" s="11">
        <f t="shared" si="5"/>
        <v>960000000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473</v>
      </c>
      <c r="E182" s="11">
        <f t="shared" si="7"/>
        <v>0</v>
      </c>
      <c r="F182" s="11">
        <f t="shared" si="5"/>
        <v>-1040931100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461</v>
      </c>
      <c r="E183" s="11">
        <f t="shared" si="7"/>
        <v>1</v>
      </c>
      <c r="F183" s="11">
        <f t="shared" si="5"/>
        <v>310540020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431</v>
      </c>
      <c r="E184" s="11">
        <f t="shared" si="7"/>
        <v>1</v>
      </c>
      <c r="F184" s="11">
        <f t="shared" si="5"/>
        <v>291110000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416</v>
      </c>
      <c r="E185" s="11">
        <f t="shared" si="7"/>
        <v>0</v>
      </c>
      <c r="F185" s="11">
        <f t="shared" si="5"/>
        <v>-4160000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411</v>
      </c>
      <c r="E186" s="11">
        <f t="shared" si="7"/>
        <v>0</v>
      </c>
      <c r="F186" s="11">
        <f t="shared" si="5"/>
        <v>-33085500000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406</v>
      </c>
      <c r="E187" s="11">
        <f t="shared" si="7"/>
        <v>0</v>
      </c>
      <c r="F187" s="11">
        <f t="shared" si="5"/>
        <v>-446600000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406</v>
      </c>
      <c r="E188" s="11">
        <f t="shared" si="7"/>
        <v>1</v>
      </c>
      <c r="F188" s="11">
        <f t="shared" si="5"/>
        <v>1215000000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405</v>
      </c>
      <c r="E189" s="11">
        <f t="shared" si="7"/>
        <v>1</v>
      </c>
      <c r="F189" s="11">
        <f t="shared" si="5"/>
        <v>808000000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405</v>
      </c>
      <c r="E190" s="11">
        <f t="shared" si="7"/>
        <v>0</v>
      </c>
      <c r="F190" s="11">
        <f t="shared" si="5"/>
        <v>-2025000000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404</v>
      </c>
      <c r="E191" s="11">
        <f t="shared" si="7"/>
        <v>1</v>
      </c>
      <c r="F191" s="11">
        <f t="shared" si="5"/>
        <v>194748944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400</v>
      </c>
      <c r="E192" s="11">
        <f t="shared" si="7"/>
        <v>0</v>
      </c>
      <c r="F192" s="11">
        <f t="shared" si="5"/>
        <v>-46120000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396</v>
      </c>
      <c r="E193" s="11">
        <f t="shared" si="7"/>
        <v>1</v>
      </c>
      <c r="F193" s="11">
        <f t="shared" si="5"/>
        <v>35550000000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389</v>
      </c>
      <c r="E194" s="11">
        <f t="shared" si="7"/>
        <v>1</v>
      </c>
      <c r="F194" s="11">
        <f t="shared" si="5"/>
        <v>20176000000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389</v>
      </c>
      <c r="E195" s="11">
        <f t="shared" si="7"/>
        <v>1</v>
      </c>
      <c r="F195" s="99">
        <f t="shared" si="5"/>
        <v>9700000000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389</v>
      </c>
      <c r="E196" s="99">
        <f t="shared" si="7"/>
        <v>0</v>
      </c>
      <c r="F196" s="99">
        <f t="shared" si="5"/>
        <v>-65352000000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382</v>
      </c>
      <c r="E197" s="99">
        <f t="shared" si="7"/>
        <v>0</v>
      </c>
      <c r="F197" s="99">
        <f t="shared" si="5"/>
        <v>-63221000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378</v>
      </c>
      <c r="E198" s="99">
        <f t="shared" si="7"/>
        <v>0</v>
      </c>
      <c r="F198" s="99">
        <f t="shared" si="5"/>
        <v>-75600000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378</v>
      </c>
      <c r="E199" s="99">
        <f t="shared" si="7"/>
        <v>0</v>
      </c>
      <c r="F199" s="99">
        <f t="shared" si="5"/>
        <v>-17758818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375</v>
      </c>
      <c r="E200" s="99">
        <f t="shared" si="7"/>
        <v>0</v>
      </c>
      <c r="F200" s="99">
        <f t="shared" si="5"/>
        <v>-1743750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373</v>
      </c>
      <c r="E201" s="99">
        <f t="shared" si="7"/>
        <v>1</v>
      </c>
      <c r="F201" s="99">
        <f t="shared" si="5"/>
        <v>59456016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370</v>
      </c>
      <c r="E202" s="99">
        <f t="shared" si="7"/>
        <v>0</v>
      </c>
      <c r="F202" s="99">
        <f t="shared" si="5"/>
        <v>-111185000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370</v>
      </c>
      <c r="E203" s="99">
        <f t="shared" si="7"/>
        <v>1</v>
      </c>
      <c r="F203" s="99">
        <f t="shared" si="5"/>
        <v>2214000000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368</v>
      </c>
      <c r="E204" s="99">
        <f t="shared" si="7"/>
        <v>0</v>
      </c>
      <c r="F204" s="99">
        <f t="shared" si="5"/>
        <v>-252080000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367</v>
      </c>
      <c r="E205" s="99">
        <f t="shared" si="7"/>
        <v>0</v>
      </c>
      <c r="F205" s="99">
        <f t="shared" si="5"/>
        <v>-1101000000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366</v>
      </c>
      <c r="E206" s="99">
        <f t="shared" si="7"/>
        <v>0</v>
      </c>
      <c r="F206" s="99">
        <f t="shared" si="5"/>
        <v>-57096000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365</v>
      </c>
      <c r="E207" s="99">
        <f t="shared" si="7"/>
        <v>0</v>
      </c>
      <c r="F207" s="99">
        <f t="shared" si="5"/>
        <v>-24090000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364</v>
      </c>
      <c r="E208" s="99">
        <f t="shared" si="7"/>
        <v>0</v>
      </c>
      <c r="F208" s="99">
        <f t="shared" si="5"/>
        <v>-910327600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362</v>
      </c>
      <c r="E209" s="99">
        <f t="shared" si="7"/>
        <v>1</v>
      </c>
      <c r="F209" s="99">
        <f t="shared" si="5"/>
        <v>1083000000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362</v>
      </c>
      <c r="E210" s="99">
        <f t="shared" si="7"/>
        <v>0</v>
      </c>
      <c r="F210" s="99">
        <f t="shared" si="5"/>
        <v>-941706800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360</v>
      </c>
      <c r="E211" s="99">
        <f t="shared" si="7"/>
        <v>1</v>
      </c>
      <c r="F211" s="99">
        <f t="shared" si="5"/>
        <v>359000000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358</v>
      </c>
      <c r="E212" s="99">
        <f t="shared" si="7"/>
        <v>1</v>
      </c>
      <c r="F212" s="99">
        <f t="shared" si="5"/>
        <v>481950000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357</v>
      </c>
      <c r="E213" s="99">
        <f t="shared" si="7"/>
        <v>0</v>
      </c>
      <c r="F213" s="99">
        <f t="shared" si="5"/>
        <v>-785400000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357</v>
      </c>
      <c r="E214" s="99">
        <f t="shared" si="7"/>
        <v>0</v>
      </c>
      <c r="F214" s="99">
        <f t="shared" si="5"/>
        <v>-178678500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354</v>
      </c>
      <c r="E215" s="99">
        <f t="shared" si="7"/>
        <v>0</v>
      </c>
      <c r="F215" s="99">
        <f t="shared" si="5"/>
        <v>-15930000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354</v>
      </c>
      <c r="E216" s="99">
        <f t="shared" si="7"/>
        <v>1</v>
      </c>
      <c r="F216" s="99">
        <f t="shared" si="5"/>
        <v>353000000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354</v>
      </c>
      <c r="E217" s="99">
        <f t="shared" si="7"/>
        <v>0</v>
      </c>
      <c r="F217" s="99">
        <f t="shared" si="5"/>
        <v>-35400000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353</v>
      </c>
      <c r="E218" s="99">
        <f t="shared" si="7"/>
        <v>0</v>
      </c>
      <c r="F218" s="99">
        <f t="shared" si="5"/>
        <v>-105900000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350</v>
      </c>
      <c r="E219" s="99">
        <f t="shared" si="7"/>
        <v>0</v>
      </c>
      <c r="F219" s="99">
        <f t="shared" si="5"/>
        <v>-17818500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350</v>
      </c>
      <c r="E220" s="99">
        <f t="shared" si="7"/>
        <v>0</v>
      </c>
      <c r="F220" s="99">
        <f t="shared" si="5"/>
        <v>-192675000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348</v>
      </c>
      <c r="E221" s="99">
        <f t="shared" si="7"/>
        <v>1</v>
      </c>
      <c r="F221" s="99">
        <f t="shared" si="5"/>
        <v>555200000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347</v>
      </c>
      <c r="E222" s="99">
        <f t="shared" si="7"/>
        <v>0</v>
      </c>
      <c r="F222" s="99">
        <f t="shared" si="5"/>
        <v>-520742900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342</v>
      </c>
      <c r="E223" s="99">
        <f t="shared" si="7"/>
        <v>1</v>
      </c>
      <c r="F223" s="99">
        <f t="shared" si="5"/>
        <v>2939079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339</v>
      </c>
      <c r="E224" s="99">
        <f t="shared" si="7"/>
        <v>1</v>
      </c>
      <c r="F224" s="99">
        <f t="shared" si="5"/>
        <v>1014000000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337</v>
      </c>
      <c r="E225" s="99">
        <f t="shared" si="7"/>
        <v>0</v>
      </c>
      <c r="F225" s="99">
        <f t="shared" si="5"/>
        <v>-1011303300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336</v>
      </c>
      <c r="E226" s="99">
        <f t="shared" si="7"/>
        <v>1</v>
      </c>
      <c r="F226" s="99">
        <f t="shared" si="5"/>
        <v>1005000000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336</v>
      </c>
      <c r="E227" s="99">
        <f t="shared" si="7"/>
        <v>0</v>
      </c>
      <c r="F227" s="99">
        <f t="shared" si="5"/>
        <v>-58934400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335</v>
      </c>
      <c r="E228" s="99">
        <f t="shared" si="7"/>
        <v>0</v>
      </c>
      <c r="F228" s="99">
        <f t="shared" si="5"/>
        <v>-402167500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335</v>
      </c>
      <c r="E229" s="99">
        <f t="shared" si="7"/>
        <v>0</v>
      </c>
      <c r="F229" s="99">
        <f t="shared" si="5"/>
        <v>-6885925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334</v>
      </c>
      <c r="E230" s="99">
        <f t="shared" si="7"/>
        <v>0</v>
      </c>
      <c r="F230" s="99">
        <f t="shared" si="5"/>
        <v>-338831644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333</v>
      </c>
      <c r="E231" s="99">
        <f t="shared" si="7"/>
        <v>0</v>
      </c>
      <c r="F231" s="99">
        <f t="shared" si="5"/>
        <v>-8066925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332</v>
      </c>
      <c r="E232" s="99">
        <f t="shared" si="7"/>
        <v>1</v>
      </c>
      <c r="F232" s="99">
        <f t="shared" si="5"/>
        <v>364100000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332</v>
      </c>
      <c r="E233" s="99">
        <f t="shared" si="7"/>
        <v>0</v>
      </c>
      <c r="F233" s="99">
        <f t="shared" si="5"/>
        <v>-49102800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328</v>
      </c>
      <c r="E234" s="99">
        <f t="shared" si="7"/>
        <v>0</v>
      </c>
      <c r="F234" s="99">
        <f t="shared" si="5"/>
        <v>-22292520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323</v>
      </c>
      <c r="E235" s="99">
        <f t="shared" si="7"/>
        <v>0</v>
      </c>
      <c r="F235" s="99">
        <f t="shared" si="5"/>
        <v>-37059082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322</v>
      </c>
      <c r="E236" s="99">
        <f t="shared" si="7"/>
        <v>0</v>
      </c>
      <c r="F236" s="99">
        <f t="shared" si="5"/>
        <v>-115920000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322</v>
      </c>
      <c r="E237" s="99">
        <f t="shared" si="7"/>
        <v>0</v>
      </c>
      <c r="F237" s="99">
        <f t="shared" si="5"/>
        <v>-67942000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322</v>
      </c>
      <c r="E238" s="99">
        <f t="shared" si="7"/>
        <v>0</v>
      </c>
      <c r="F238" s="99">
        <f t="shared" si="5"/>
        <v>-61083400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321</v>
      </c>
      <c r="E239" s="99">
        <f t="shared" si="7"/>
        <v>0</v>
      </c>
      <c r="F239" s="99">
        <f t="shared" si="5"/>
        <v>-128560500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321</v>
      </c>
      <c r="E240" s="99">
        <f t="shared" si="7"/>
        <v>1</v>
      </c>
      <c r="F240" s="99">
        <f t="shared" si="5"/>
        <v>128000000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318</v>
      </c>
      <c r="E241" s="99">
        <f t="shared" si="7"/>
        <v>0</v>
      </c>
      <c r="F241" s="99">
        <f t="shared" si="5"/>
        <v>-102038250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311</v>
      </c>
      <c r="E242" s="99">
        <f t="shared" si="7"/>
        <v>1</v>
      </c>
      <c r="F242" s="99">
        <f t="shared" si="5"/>
        <v>1882940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309</v>
      </c>
      <c r="E243" s="99">
        <f t="shared" si="7"/>
        <v>0</v>
      </c>
      <c r="F243" s="99">
        <f t="shared" si="5"/>
        <v>-114484500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294</v>
      </c>
      <c r="E244" s="99">
        <f t="shared" si="7"/>
        <v>1</v>
      </c>
      <c r="F244" s="99">
        <f t="shared" si="5"/>
        <v>879000000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292</v>
      </c>
      <c r="E245" s="99">
        <f t="shared" si="7"/>
        <v>0</v>
      </c>
      <c r="F245" s="99">
        <f t="shared" si="5"/>
        <v>-23360000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291</v>
      </c>
      <c r="E246" s="99">
        <f t="shared" si="7"/>
        <v>0</v>
      </c>
      <c r="F246" s="99">
        <f t="shared" si="5"/>
        <v>-785700000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291</v>
      </c>
      <c r="E247" s="99">
        <f t="shared" si="7"/>
        <v>0</v>
      </c>
      <c r="F247" s="99">
        <f t="shared" si="5"/>
        <v>-8730000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289</v>
      </c>
      <c r="E248" s="99">
        <f t="shared" si="7"/>
        <v>0</v>
      </c>
      <c r="F248" s="99">
        <f t="shared" si="5"/>
        <v>-34680000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288</v>
      </c>
      <c r="E249" s="99">
        <f>IF(B250&gt;0,1,0)</f>
        <v>1</v>
      </c>
      <c r="F249" s="99">
        <f>B250*(D249-E249)</f>
        <v>229600000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287</v>
      </c>
      <c r="E250" s="99">
        <f>IF(B251&gt;0,1,0)</f>
        <v>0</v>
      </c>
      <c r="F250" s="99">
        <f>B251*(D250-E250)</f>
        <v>-5582150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286</v>
      </c>
      <c r="E251" s="99">
        <f>IF(B252&gt;0,1,0)</f>
        <v>0</v>
      </c>
      <c r="F251" s="99">
        <f>B252*(D251-E251)</f>
        <v>-143000000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286</v>
      </c>
      <c r="E252" s="99">
        <f>IF(B253&gt;0,1,0)</f>
        <v>1</v>
      </c>
      <c r="F252" s="99">
        <f>B253*(D252-E252)</f>
        <v>142500000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286</v>
      </c>
      <c r="E253" s="99">
        <f t="shared" ref="E253:E275" si="9">IF(B254&gt;0,1,0)</f>
        <v>0</v>
      </c>
      <c r="F253" s="99">
        <f>B254*(D253-E253)</f>
        <v>-130019318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286</v>
      </c>
      <c r="E254" s="99">
        <f t="shared" si="9"/>
        <v>0</v>
      </c>
      <c r="F254" s="99">
        <f t="shared" ref="F254:F275" si="10">B255*(D254-E254)</f>
        <v>-5605600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285</v>
      </c>
      <c r="E255" s="99">
        <f t="shared" si="9"/>
        <v>0</v>
      </c>
      <c r="F255" s="99">
        <f t="shared" si="10"/>
        <v>-7187700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285</v>
      </c>
      <c r="E256" s="99">
        <f t="shared" si="9"/>
        <v>0</v>
      </c>
      <c r="F256" s="99">
        <f t="shared" si="10"/>
        <v>-42607500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284</v>
      </c>
      <c r="E257" s="99">
        <f t="shared" si="9"/>
        <v>0</v>
      </c>
      <c r="F257" s="99">
        <f t="shared" si="10"/>
        <v>-44020000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284</v>
      </c>
      <c r="E258" s="99">
        <f t="shared" si="9"/>
        <v>0</v>
      </c>
      <c r="F258" s="99">
        <f t="shared" si="10"/>
        <v>-1420000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202</v>
      </c>
      <c r="E259" s="99">
        <f t="shared" si="9"/>
        <v>1</v>
      </c>
      <c r="F259" s="99">
        <f t="shared" si="10"/>
        <v>20100000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120</v>
      </c>
      <c r="E260" s="99">
        <f t="shared" si="9"/>
        <v>1</v>
      </c>
      <c r="F260" s="99">
        <f t="shared" si="10"/>
        <v>357000000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119</v>
      </c>
      <c r="E261" s="99">
        <f t="shared" si="9"/>
        <v>0</v>
      </c>
      <c r="F261" s="99">
        <f t="shared" si="10"/>
        <v>-7913500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116</v>
      </c>
      <c r="E262" s="99">
        <f t="shared" si="9"/>
        <v>0</v>
      </c>
      <c r="F262" s="99">
        <f t="shared" si="10"/>
        <v>-4393848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114</v>
      </c>
      <c r="E263" s="99">
        <f t="shared" si="9"/>
        <v>0</v>
      </c>
      <c r="F263" s="99">
        <f t="shared" si="10"/>
        <v>-4731000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112</v>
      </c>
      <c r="E264" s="99">
        <f t="shared" si="9"/>
        <v>0</v>
      </c>
      <c r="F264" s="99">
        <f t="shared" si="10"/>
        <v>-21280000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109</v>
      </c>
      <c r="E265" s="99">
        <f t="shared" si="9"/>
        <v>0</v>
      </c>
      <c r="F265" s="99">
        <f t="shared" si="10"/>
        <v>-5995000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108</v>
      </c>
      <c r="E266" s="99">
        <f t="shared" si="9"/>
        <v>0</v>
      </c>
      <c r="F266" s="99">
        <f t="shared" si="10"/>
        <v>-3174660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107</v>
      </c>
      <c r="E267" s="99">
        <f t="shared" si="9"/>
        <v>0</v>
      </c>
      <c r="F267" s="99">
        <f t="shared" si="10"/>
        <v>-5350000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105</v>
      </c>
      <c r="E268" s="99">
        <f t="shared" si="9"/>
        <v>0</v>
      </c>
      <c r="F268" s="99">
        <f t="shared" si="10"/>
        <v>-8400000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104</v>
      </c>
      <c r="E269" s="99">
        <f t="shared" si="9"/>
        <v>0</v>
      </c>
      <c r="F269" s="99">
        <f t="shared" si="10"/>
        <v>-10286536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103</v>
      </c>
      <c r="E270" s="99">
        <f t="shared" si="9"/>
        <v>0</v>
      </c>
      <c r="F270" s="99">
        <f t="shared" si="10"/>
        <v>-966140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100</v>
      </c>
      <c r="E271" s="99">
        <f t="shared" si="9"/>
        <v>0</v>
      </c>
      <c r="F271" s="99">
        <f t="shared" si="10"/>
        <v>-240000000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100</v>
      </c>
      <c r="E272" s="99">
        <f t="shared" si="9"/>
        <v>1</v>
      </c>
      <c r="F272" s="99">
        <f t="shared" si="10"/>
        <v>1485000</v>
      </c>
      <c r="G272" s="99"/>
    </row>
    <row r="273" spans="1:11">
      <c r="A273" s="99" t="s">
        <v>4638</v>
      </c>
      <c r="B273" s="113">
        <v>15000</v>
      </c>
      <c r="C273" s="99">
        <v>93</v>
      </c>
      <c r="D273" s="99">
        <f t="shared" si="8"/>
        <v>97</v>
      </c>
      <c r="E273" s="99">
        <f t="shared" si="9"/>
        <v>1</v>
      </c>
      <c r="F273" s="99">
        <f t="shared" si="10"/>
        <v>336000000</v>
      </c>
      <c r="G273" s="99"/>
    </row>
    <row r="274" spans="1:11">
      <c r="A274" s="99" t="s">
        <v>5032</v>
      </c>
      <c r="B274" s="113">
        <v>3500000</v>
      </c>
      <c r="C274" s="99">
        <v>0</v>
      </c>
      <c r="D274" s="99">
        <f t="shared" si="8"/>
        <v>4</v>
      </c>
      <c r="E274" s="99">
        <f t="shared" si="9"/>
        <v>0</v>
      </c>
      <c r="F274" s="99">
        <f t="shared" si="10"/>
        <v>-896048</v>
      </c>
      <c r="G274" s="99"/>
    </row>
    <row r="275" spans="1:11">
      <c r="A275" s="99" t="s">
        <v>5032</v>
      </c>
      <c r="B275" s="113">
        <v>-224012</v>
      </c>
      <c r="C275" s="99">
        <v>2</v>
      </c>
      <c r="D275" s="99">
        <f t="shared" si="8"/>
        <v>4</v>
      </c>
      <c r="E275" s="99">
        <f t="shared" si="9"/>
        <v>0</v>
      </c>
      <c r="F275" s="99">
        <f t="shared" si="10"/>
        <v>-418684</v>
      </c>
      <c r="G275" s="99"/>
    </row>
    <row r="276" spans="1:11">
      <c r="A276" s="99" t="s">
        <v>5055</v>
      </c>
      <c r="B276" s="113">
        <v>-104671</v>
      </c>
      <c r="C276" s="99">
        <v>1</v>
      </c>
      <c r="D276" s="99">
        <f t="shared" ref="D276:D287" si="11">D277+C276</f>
        <v>2</v>
      </c>
      <c r="E276" s="99">
        <f t="shared" ref="E276:E287" si="12">IF(B277&gt;0,1,0)</f>
        <v>0</v>
      </c>
      <c r="F276" s="99">
        <f t="shared" ref="F276:F287" si="13">B277*(D276-E276)</f>
        <v>-400000</v>
      </c>
      <c r="G276" s="99"/>
    </row>
    <row r="277" spans="1:11">
      <c r="A277" s="99" t="s">
        <v>5057</v>
      </c>
      <c r="B277" s="113">
        <v>-200000</v>
      </c>
      <c r="C277" s="99">
        <v>1</v>
      </c>
      <c r="D277" s="99">
        <f t="shared" si="11"/>
        <v>1</v>
      </c>
      <c r="E277" s="99">
        <f t="shared" si="12"/>
        <v>0</v>
      </c>
      <c r="F277" s="99">
        <f t="shared" si="13"/>
        <v>0</v>
      </c>
      <c r="G277" s="99"/>
    </row>
    <row r="278" spans="1:11">
      <c r="A278" s="99"/>
      <c r="B278" s="113"/>
      <c r="C278" s="99"/>
      <c r="D278" s="99">
        <f t="shared" si="11"/>
        <v>0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3028054</v>
      </c>
      <c r="C289" s="11"/>
      <c r="D289" s="11"/>
      <c r="E289" s="11"/>
      <c r="F289" s="29">
        <f>SUM(F2:F287)</f>
        <v>19236747773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18130770.756833177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10" activePane="bottomLeft" state="frozen"/>
      <selection pane="bottomLeft" activeCell="M15" sqref="M15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5007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4937</v>
      </c>
      <c r="B193" s="38">
        <v>-25000</v>
      </c>
      <c r="C193" s="11" t="s">
        <v>4947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2"/>
  <sheetViews>
    <sheetView topLeftCell="H103" zoomScaleNormal="100" workbookViewId="0">
      <selection activeCell="P60" sqref="P6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4898</v>
      </c>
      <c r="AT11" s="73" t="s">
        <v>4899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4969</v>
      </c>
      <c r="AT12" s="73" t="s">
        <v>4970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3028054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4971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1550485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521762500.08537179</v>
      </c>
      <c r="M21" s="168" t="s">
        <v>4301</v>
      </c>
      <c r="N21" s="113">
        <f t="shared" ref="N21:N26" si="9">O21*P21</f>
        <v>16452828.4</v>
      </c>
      <c r="O21" s="99">
        <v>82429</v>
      </c>
      <c r="P21" s="186">
        <f>P58</f>
        <v>199.6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-3186124</v>
      </c>
      <c r="M22" s="168" t="s">
        <v>4391</v>
      </c>
      <c r="N22" s="113">
        <f t="shared" si="9"/>
        <v>98184391.199999988</v>
      </c>
      <c r="O22" s="99">
        <v>25521</v>
      </c>
      <c r="P22" s="186">
        <f>P46</f>
        <v>3847.2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1226954.4000000001</v>
      </c>
      <c r="O23" s="99">
        <v>8808</v>
      </c>
      <c r="P23" s="186">
        <f>P48</f>
        <v>139.30000000000001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478769203.08537179</v>
      </c>
      <c r="G24" s="95">
        <f t="shared" si="0"/>
        <v>-198462857.70343316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105617786.2</v>
      </c>
      <c r="O24" s="99">
        <v>154706</v>
      </c>
      <c r="P24" s="186">
        <f>P51</f>
        <v>682.7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95793375.899999991</v>
      </c>
      <c r="O25" s="99">
        <v>20491</v>
      </c>
      <c r="P25" s="186">
        <f>P52</f>
        <v>4674.8999999999996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550417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4381960.8</v>
      </c>
      <c r="O30" s="69">
        <v>1139</v>
      </c>
      <c r="P30" s="99">
        <f>P46</f>
        <v>3847.2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657440.10000000009</v>
      </c>
      <c r="O31" s="69">
        <v>963</v>
      </c>
      <c r="P31" s="99">
        <f>P51</f>
        <v>682.7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677860.5</v>
      </c>
      <c r="O32" s="69">
        <v>145</v>
      </c>
      <c r="P32" s="99">
        <f>P52</f>
        <v>4674.8999999999996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25085528.399999999</v>
      </c>
      <c r="O33" s="69">
        <v>125679</v>
      </c>
      <c r="P33" s="99">
        <f>P58</f>
        <v>199.6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-S177</f>
        <v>-521762500.08537179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15300000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5058</v>
      </c>
      <c r="L44" s="117">
        <v>-1700000</v>
      </c>
      <c r="M44" s="168" t="s">
        <v>4459</v>
      </c>
      <c r="N44" s="113">
        <v>162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123095011.19999999</v>
      </c>
      <c r="O46" s="99">
        <v>31996</v>
      </c>
      <c r="P46" s="99">
        <v>3847.2</v>
      </c>
      <c r="Q46" s="169">
        <v>1018599</v>
      </c>
      <c r="R46" s="215" t="s">
        <v>4905</v>
      </c>
      <c r="S46" s="198">
        <f>S45-19</f>
        <v>21</v>
      </c>
      <c r="T46" s="215" t="s">
        <v>4907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948200</v>
      </c>
      <c r="O47" s="69">
        <v>2000</v>
      </c>
      <c r="P47" s="69">
        <v>474.1</v>
      </c>
      <c r="Q47" s="169">
        <v>1001132</v>
      </c>
      <c r="R47" s="215" t="s">
        <v>4905</v>
      </c>
      <c r="S47" s="198">
        <f>S46</f>
        <v>21</v>
      </c>
      <c r="T47" s="215" t="s">
        <v>4908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123698.40000000001</v>
      </c>
      <c r="O48" s="69">
        <v>888</v>
      </c>
      <c r="P48" s="69">
        <v>139.30000000000001</v>
      </c>
      <c r="Q48" s="169">
        <v>5809833</v>
      </c>
      <c r="R48" s="215" t="s">
        <v>4924</v>
      </c>
      <c r="S48" s="198">
        <f>S47-2</f>
        <v>19</v>
      </c>
      <c r="T48" s="215" t="s">
        <v>4928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69105</v>
      </c>
      <c r="O49" s="69">
        <v>50</v>
      </c>
      <c r="P49" s="69">
        <v>1382.1</v>
      </c>
      <c r="Q49" s="169">
        <v>22263826</v>
      </c>
      <c r="R49" s="215" t="s">
        <v>4924</v>
      </c>
      <c r="S49" s="198">
        <f>S48</f>
        <v>19</v>
      </c>
      <c r="T49" s="215" t="s">
        <v>4929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18</v>
      </c>
      <c r="T50" s="215" t="s">
        <v>4932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72936254.5</v>
      </c>
      <c r="O51" s="69">
        <v>106835</v>
      </c>
      <c r="P51" s="69">
        <v>682.7</v>
      </c>
      <c r="Q51" s="169">
        <v>931614</v>
      </c>
      <c r="R51" s="215" t="s">
        <v>4938</v>
      </c>
      <c r="S51" s="198">
        <f>S50-8</f>
        <v>10</v>
      </c>
      <c r="T51" s="215" t="s">
        <v>4940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38240682</v>
      </c>
      <c r="O52" s="69">
        <v>8180</v>
      </c>
      <c r="P52" s="69">
        <v>4674.8999999999996</v>
      </c>
      <c r="Q52" s="169">
        <v>533965</v>
      </c>
      <c r="R52" s="215" t="s">
        <v>4983</v>
      </c>
      <c r="S52" s="198">
        <f>S51-12</f>
        <v>-2</v>
      </c>
      <c r="T52" s="215" t="s">
        <v>4984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16588952.4</v>
      </c>
      <c r="O53" s="69">
        <v>2913</v>
      </c>
      <c r="P53" s="69">
        <v>5694.8</v>
      </c>
      <c r="Q53" s="169">
        <v>164707</v>
      </c>
      <c r="R53" s="215" t="s">
        <v>4998</v>
      </c>
      <c r="S53" s="198">
        <f>S52-6</f>
        <v>-8</v>
      </c>
      <c r="T53" s="215" t="s">
        <v>4999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4517070</v>
      </c>
      <c r="O54" s="69">
        <v>5100</v>
      </c>
      <c r="P54" s="69">
        <v>885.7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2523817.9</v>
      </c>
      <c r="O55" s="69">
        <v>6997</v>
      </c>
      <c r="P55" s="69">
        <v>360.7</v>
      </c>
      <c r="Q55" s="169">
        <f>SUM(N21:N26)-SUM(Q20:Q54)</f>
        <v>52510792.699999988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276782.8</v>
      </c>
      <c r="O56" s="69">
        <v>1148</v>
      </c>
      <c r="P56" s="69">
        <v>241.1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1455300.0000000002</v>
      </c>
      <c r="O57" s="69">
        <v>5500</v>
      </c>
      <c r="P57" s="69">
        <v>264.60000000000002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258995371.19999999</v>
      </c>
      <c r="O58" s="99">
        <v>1297572</v>
      </c>
      <c r="P58" s="99">
        <v>199.6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510000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-10717322.4</v>
      </c>
      <c r="O64" s="99">
        <v>53694</v>
      </c>
      <c r="P64" s="99">
        <f>P58</f>
        <v>199.6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-S178</f>
        <v>-14742155.754901862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25500000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4905</v>
      </c>
      <c r="S69" s="198">
        <f>S68-26</f>
        <v>21</v>
      </c>
      <c r="T69" s="190" t="s">
        <v>4909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478769203.08537179</v>
      </c>
      <c r="M70" s="168"/>
      <c r="N70" s="113">
        <f>SUM(N16:N69)</f>
        <v>532243585.65972626</v>
      </c>
      <c r="Q70" s="169">
        <v>48217</v>
      </c>
      <c r="R70" s="215" t="s">
        <v>4924</v>
      </c>
      <c r="S70" s="198">
        <f>S69-2</f>
        <v>19</v>
      </c>
      <c r="T70" s="190" t="s">
        <v>4930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3592827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4933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548769203.08537173</v>
      </c>
      <c r="M72" s="113"/>
      <c r="N72" s="168"/>
      <c r="O72" s="115"/>
      <c r="P72" s="115"/>
      <c r="Q72" s="169">
        <v>102339</v>
      </c>
      <c r="R72" s="215" t="s">
        <v>4938</v>
      </c>
      <c r="S72" s="198">
        <f>S71-8</f>
        <v>10</v>
      </c>
      <c r="T72" s="190" t="s">
        <v>4939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4954</v>
      </c>
      <c r="S73" s="198">
        <f>S72-4</f>
        <v>6</v>
      </c>
      <c r="T73" s="190" t="s">
        <v>4957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4954</v>
      </c>
      <c r="S74" s="198">
        <f>S73</f>
        <v>6</v>
      </c>
      <c r="T74" s="190" t="s">
        <v>4958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32439300</v>
      </c>
      <c r="P75" s="115"/>
      <c r="Q75" s="169">
        <v>13517</v>
      </c>
      <c r="R75" s="5" t="s">
        <v>4954</v>
      </c>
      <c r="S75" s="198">
        <f>S74</f>
        <v>6</v>
      </c>
      <c r="T75" s="190" t="s">
        <v>4959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4954</v>
      </c>
      <c r="S76" s="198">
        <f>S75</f>
        <v>6</v>
      </c>
      <c r="T76" s="190" t="s">
        <v>4960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4983</v>
      </c>
      <c r="S77" s="198">
        <f>S76-8</f>
        <v>-2</v>
      </c>
      <c r="T77" s="190" t="s">
        <v>4985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4998</v>
      </c>
      <c r="S78" s="198">
        <f>S77-6</f>
        <v>-8</v>
      </c>
      <c r="T78" s="190" t="s">
        <v>5000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2630053.1999999955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4869</v>
      </c>
      <c r="M84" s="96">
        <f>O58+O21+O33-O64</f>
        <v>1451986</v>
      </c>
      <c r="N84" s="113">
        <f>M84*P58</f>
        <v>289816405.59999996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4296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4986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25551.102204408817</v>
      </c>
      <c r="G109" s="200">
        <f>P58</f>
        <v>199.6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311100000</v>
      </c>
      <c r="M109" s="217">
        <f>N21+N33+N58</f>
        <v>300533728</v>
      </c>
      <c r="N109" s="184">
        <f t="shared" ref="N109:N117" si="27">L109-M109</f>
        <v>10566272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804.89883526403844</v>
      </c>
      <c r="G110" s="215">
        <f>P50</f>
        <v>6336.2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173400000</v>
      </c>
      <c r="M110" s="1">
        <f>N26+N50+N29</f>
        <v>228819190.59999999</v>
      </c>
      <c r="N110" s="113">
        <f t="shared" si="27"/>
        <v>-55419190.599999994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5" si="28">V110*(1+$W$19/100)</f>
        <v>3715.4670099287678</v>
      </c>
      <c r="X110" s="32">
        <f t="shared" ref="X110:X165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1325.6394260761074</v>
      </c>
      <c r="G111" s="200">
        <f>P46</f>
        <v>3847.2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173400000</v>
      </c>
      <c r="M111" s="217">
        <f>N46+N30+N22</f>
        <v>225661363.19999999</v>
      </c>
      <c r="N111" s="184">
        <f t="shared" si="27"/>
        <v>-52261363.199999988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7470.3383623846485</v>
      </c>
      <c r="G112" s="215">
        <f>P51</f>
        <v>682.7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173400000</v>
      </c>
      <c r="M112" s="1">
        <f>N51+N24+N31</f>
        <v>179211480.79999998</v>
      </c>
      <c r="N112" s="113">
        <f t="shared" si="27"/>
        <v>-5811480.7999999821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895.55383858959044</v>
      </c>
      <c r="G113" s="200">
        <f>P53</f>
        <v>5694.8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35700000</v>
      </c>
      <c r="M113" s="217">
        <f>N53</f>
        <v>16588952.4</v>
      </c>
      <c r="N113" s="184">
        <f t="shared" si="27"/>
        <v>19111047.600000001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1090.9324263620613</v>
      </c>
      <c r="G114" s="215">
        <f>P52</f>
        <v>4674.8999999999996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173400000</v>
      </c>
      <c r="M114" s="1">
        <f>N52+N25</f>
        <v>134034057.89999999</v>
      </c>
      <c r="N114" s="113">
        <f t="shared" si="27"/>
        <v>39365942.100000009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10200000</v>
      </c>
      <c r="M115" s="217">
        <f>N54</f>
        <v>4517070</v>
      </c>
      <c r="N115" s="113">
        <f t="shared" si="27"/>
        <v>5682930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20400000</v>
      </c>
      <c r="M116" s="1">
        <f>N55</f>
        <v>2523817.9</v>
      </c>
      <c r="N116" s="113">
        <f t="shared" si="27"/>
        <v>17876182.100000001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5100000</v>
      </c>
      <c r="M117" s="217">
        <f>N47+N49+N57+N56</f>
        <v>2749387.8</v>
      </c>
      <c r="N117" s="184">
        <f t="shared" si="27"/>
        <v>2350612.2000000002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4955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5100000</v>
      </c>
      <c r="M120" s="1">
        <f>K120*L120</f>
        <v>40800000</v>
      </c>
      <c r="N120" s="113">
        <f>SUM(N109:N118)-M120</f>
        <v>-9339048.5999999605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4981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5003</v>
      </c>
      <c r="G125" s="129" t="s">
        <v>5004</v>
      </c>
      <c r="H125" s="4" t="s">
        <v>4954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3847.2</v>
      </c>
      <c r="H127" s="215" t="s">
        <v>4391</v>
      </c>
      <c r="I127" s="215">
        <v>3761</v>
      </c>
      <c r="J127" s="1">
        <f>I127*G127</f>
        <v>14469319.199999999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682.7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4674.8999999999996</v>
      </c>
      <c r="H130" s="215" t="s">
        <v>4538</v>
      </c>
      <c r="I130" s="215">
        <v>130</v>
      </c>
      <c r="J130" s="1">
        <f>I130*G130</f>
        <v>607737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60463256.799999997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4965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3847.2</v>
      </c>
      <c r="H137" s="215" t="s">
        <v>4391</v>
      </c>
      <c r="I137" s="215">
        <v>1000</v>
      </c>
      <c r="J137" s="1">
        <f>I137*G137</f>
        <v>3847200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4966</v>
      </c>
      <c r="I138" s="215">
        <v>1000</v>
      </c>
      <c r="J138" s="1">
        <f t="shared" ref="J138:J140" si="36">I138*G138</f>
        <v>6336200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199.6</v>
      </c>
      <c r="H139" s="215" t="s">
        <v>4243</v>
      </c>
      <c r="I139" s="215">
        <v>108344</v>
      </c>
      <c r="J139" s="1">
        <f t="shared" si="36"/>
        <v>21625462.399999999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4674.8999999999996</v>
      </c>
      <c r="H140" s="215" t="s">
        <v>4538</v>
      </c>
      <c r="I140" s="215">
        <v>3</v>
      </c>
      <c r="J140" s="1">
        <f t="shared" si="36"/>
        <v>14024.699999999999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31822887.099999998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4898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4905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4913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4924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4938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4967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4969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4974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4969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4973</v>
      </c>
    </row>
    <row r="152" spans="10:44">
      <c r="P152" s="114"/>
      <c r="Q152" s="169">
        <v>101344</v>
      </c>
      <c r="R152" s="215" t="s">
        <v>4913</v>
      </c>
      <c r="S152" s="215">
        <f>S151-5</f>
        <v>20</v>
      </c>
      <c r="T152" s="215" t="s">
        <v>4916</v>
      </c>
      <c r="U152" s="215">
        <v>113.6</v>
      </c>
      <c r="V152" s="99">
        <f t="shared" ref="V152:V165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4992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69">
        <v>2148718</v>
      </c>
      <c r="R153" s="215" t="s">
        <v>4913</v>
      </c>
      <c r="S153" s="215">
        <f>S152</f>
        <v>20</v>
      </c>
      <c r="T153" s="215" t="s">
        <v>4917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>
        <v>133</v>
      </c>
      <c r="AI153" s="113" t="s">
        <v>5032</v>
      </c>
      <c r="AJ153" s="113">
        <v>1400000</v>
      </c>
      <c r="AK153" s="99">
        <v>1</v>
      </c>
      <c r="AL153" s="20">
        <f t="shared" si="39"/>
        <v>1</v>
      </c>
      <c r="AM153" s="117">
        <f t="shared" si="40"/>
        <v>1400000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4934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4938</v>
      </c>
      <c r="S155" s="215">
        <f>S154-8</f>
        <v>10</v>
      </c>
      <c r="T155" s="215" t="s">
        <v>4941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4967</v>
      </c>
      <c r="S156" s="215">
        <f>S155-10</f>
        <v>0</v>
      </c>
      <c r="T156" s="215" t="s">
        <v>4968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4969</v>
      </c>
      <c r="S157" s="215">
        <f>S156-1</f>
        <v>-1</v>
      </c>
      <c r="T157" s="215" t="s">
        <v>4977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4969</v>
      </c>
      <c r="S158" s="215">
        <f>S157</f>
        <v>-1</v>
      </c>
      <c r="T158" s="215" t="s">
        <v>4978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4969</v>
      </c>
      <c r="S159" s="215">
        <f>S158</f>
        <v>-1</v>
      </c>
      <c r="T159" s="215" t="s">
        <v>4979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4969</v>
      </c>
      <c r="S160" s="215">
        <f>S159</f>
        <v>-1</v>
      </c>
      <c r="T160" s="215" t="s">
        <v>4980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4983</v>
      </c>
      <c r="S161" s="215">
        <f>S160-1</f>
        <v>-2</v>
      </c>
      <c r="T161" s="215" t="s">
        <v>4987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4992</v>
      </c>
      <c r="S162" s="215">
        <f>S161-5</f>
        <v>-7</v>
      </c>
      <c r="T162" s="215" t="s">
        <v>4995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4998</v>
      </c>
      <c r="S163" s="215">
        <f>S162-1</f>
        <v>-8</v>
      </c>
      <c r="T163" s="215" t="s">
        <v>5001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>
        <v>1399908</v>
      </c>
      <c r="R164" s="215" t="s">
        <v>5055</v>
      </c>
      <c r="S164" s="215">
        <f>S163-13</f>
        <v>-21</v>
      </c>
      <c r="T164" s="215" t="s">
        <v>5056</v>
      </c>
      <c r="U164" s="215">
        <v>194</v>
      </c>
      <c r="V164" s="99">
        <f t="shared" si="41"/>
        <v>193.0475397260274</v>
      </c>
      <c r="W164" s="32">
        <f t="shared" si="28"/>
        <v>196.90849052054796</v>
      </c>
      <c r="X164" s="32">
        <f t="shared" si="29"/>
        <v>200.76944131506849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69"/>
      <c r="R165" s="168"/>
      <c r="S165" s="168"/>
      <c r="T165" s="168"/>
      <c r="U165" s="168"/>
      <c r="V165" s="99">
        <f t="shared" si="41"/>
        <v>0</v>
      </c>
      <c r="W165" s="32">
        <f t="shared" si="28"/>
        <v>0</v>
      </c>
      <c r="X165" s="32">
        <f t="shared" si="29"/>
        <v>0</v>
      </c>
      <c r="AH165" s="99"/>
      <c r="AI165" s="99"/>
      <c r="AJ165" s="95">
        <f>SUM(AJ20:AJ164)</f>
        <v>577964113</v>
      </c>
      <c r="AK165" s="99"/>
      <c r="AL165" s="99"/>
      <c r="AM165" s="95">
        <f>SUM(AM20:AM164)</f>
        <v>64735212117</v>
      </c>
      <c r="AN165" s="95">
        <f>AM165*AN168/31</f>
        <v>34804573.559807718</v>
      </c>
    </row>
    <row r="166" spans="6:40">
      <c r="P166" s="114"/>
      <c r="Q166" s="113">
        <f>SUM(N46:N59)-SUM(Q88:Q165)</f>
        <v>85196378</v>
      </c>
      <c r="R166" s="112"/>
      <c r="S166" s="112"/>
      <c r="T166" s="112"/>
      <c r="U166" s="168"/>
      <c r="V166" s="99" t="s">
        <v>25</v>
      </c>
      <c r="W166" s="32"/>
      <c r="X166" s="32"/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Q167" s="26"/>
      <c r="R167" s="181"/>
      <c r="S167" s="181"/>
      <c r="T167" t="s">
        <v>25</v>
      </c>
      <c r="U167" s="96" t="s">
        <v>25</v>
      </c>
      <c r="V167" s="96" t="s">
        <v>25</v>
      </c>
      <c r="W167" s="96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R168" s="32" t="s">
        <v>4573</v>
      </c>
      <c r="S168" s="32" t="s">
        <v>950</v>
      </c>
      <c r="T168" t="s">
        <v>25</v>
      </c>
      <c r="U168" s="96" t="s">
        <v>25</v>
      </c>
      <c r="V168" s="96" t="s">
        <v>25</v>
      </c>
      <c r="W168" s="96" t="s">
        <v>25</v>
      </c>
      <c r="X168" s="122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R169" s="32">
        <v>2480</v>
      </c>
      <c r="S169" s="237">
        <v>13041741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Q170" t="s">
        <v>25</v>
      </c>
      <c r="R170" s="32">
        <v>1450</v>
      </c>
      <c r="S170" s="1">
        <f>S169*R170/R169</f>
        <v>7625211.4717741935</v>
      </c>
      <c r="U170" s="96" t="s">
        <v>25</v>
      </c>
      <c r="V170" s="122" t="s">
        <v>25</v>
      </c>
      <c r="W170" s="96" t="s">
        <v>25</v>
      </c>
      <c r="X170" t="s">
        <v>25</v>
      </c>
      <c r="AH170" s="99"/>
      <c r="AI170" s="99" t="s">
        <v>4061</v>
      </c>
      <c r="AJ170" s="95">
        <f>AJ165+AN165</f>
        <v>612768686.55980778</v>
      </c>
      <c r="AK170" s="99"/>
      <c r="AL170" s="99"/>
      <c r="AM170" s="99"/>
      <c r="AN170" s="99"/>
    </row>
    <row r="171" spans="6:40">
      <c r="P171" s="114"/>
      <c r="R171" s="32">
        <f>R169-R170</f>
        <v>1030</v>
      </c>
      <c r="S171" s="1">
        <f>R171*S169/R169</f>
        <v>5416529.5282258065</v>
      </c>
      <c r="V171" s="96"/>
      <c r="W171"/>
      <c r="X171" t="s">
        <v>25</v>
      </c>
      <c r="AI171" t="s">
        <v>4064</v>
      </c>
      <c r="AJ171" s="114">
        <f>SUM(N44:N59)</f>
        <v>730373023</v>
      </c>
    </row>
    <row r="172" spans="6:40">
      <c r="V172" s="96"/>
      <c r="W172"/>
      <c r="AI172" t="s">
        <v>4136</v>
      </c>
      <c r="AJ172" s="114">
        <f>AJ171-AJ165</f>
        <v>152408910</v>
      </c>
      <c r="AM172" t="s">
        <v>25</v>
      </c>
    </row>
    <row r="173" spans="6:40">
      <c r="P173" s="114"/>
      <c r="Q173" s="99" t="s">
        <v>4463</v>
      </c>
      <c r="R173" s="99" t="s">
        <v>4465</v>
      </c>
      <c r="S173" s="99"/>
      <c r="T173" s="99" t="s">
        <v>4466</v>
      </c>
      <c r="U173" s="99"/>
      <c r="V173" s="99"/>
      <c r="W173" s="99" t="s">
        <v>4576</v>
      </c>
      <c r="Y173" t="s">
        <v>25</v>
      </c>
      <c r="AI173" t="s">
        <v>943</v>
      </c>
      <c r="AJ173" s="114">
        <f>AN165</f>
        <v>34804573.559807718</v>
      </c>
      <c r="AN173" t="s">
        <v>25</v>
      </c>
    </row>
    <row r="174" spans="6:40">
      <c r="O174" s="96"/>
      <c r="P174" s="114"/>
      <c r="Q174" s="113">
        <v>1000</v>
      </c>
      <c r="R174" s="99">
        <v>0.25</v>
      </c>
      <c r="S174" s="99"/>
      <c r="T174" s="99">
        <f>1-R174</f>
        <v>0.75</v>
      </c>
      <c r="U174" s="99"/>
      <c r="V174" s="99"/>
      <c r="W174" s="99"/>
      <c r="AI174" t="s">
        <v>4065</v>
      </c>
      <c r="AJ174" s="114">
        <f>AJ171-AJ170</f>
        <v>117604336.44019222</v>
      </c>
      <c r="AN174" t="s">
        <v>25</v>
      </c>
    </row>
    <row r="175" spans="6:40">
      <c r="O175" s="96"/>
      <c r="P175">
        <f>R177+3579</f>
        <v>1688406</v>
      </c>
      <c r="Q175" s="168" t="s">
        <v>4450</v>
      </c>
      <c r="R175" s="168" t="s">
        <v>4468</v>
      </c>
      <c r="S175" s="168" t="s">
        <v>4470</v>
      </c>
      <c r="T175" s="168"/>
      <c r="U175" s="168" t="s">
        <v>4464</v>
      </c>
      <c r="V175" s="56" t="s">
        <v>4467</v>
      </c>
      <c r="W175" s="99"/>
      <c r="X175" s="115"/>
      <c r="Y175" t="s">
        <v>25</v>
      </c>
      <c r="AM175" t="s">
        <v>25</v>
      </c>
    </row>
    <row r="176" spans="6:40">
      <c r="Q176" s="168" t="s">
        <v>751</v>
      </c>
      <c r="R176" s="56">
        <v>1722368</v>
      </c>
      <c r="S176" s="113">
        <f>R176*$T$258</f>
        <v>533388314.49581563</v>
      </c>
      <c r="T176" s="168"/>
      <c r="U176" s="168">
        <f>$Q$174*$T$174*S176/$R$200</f>
        <v>363.19182890361157</v>
      </c>
      <c r="V176" s="95">
        <f>S176+U176</f>
        <v>533388677.68764454</v>
      </c>
      <c r="W176" s="99">
        <f>R176*100/U255</f>
        <v>48.4255771871482</v>
      </c>
      <c r="X176" s="219"/>
      <c r="AJ176" t="s">
        <v>25</v>
      </c>
    </row>
    <row r="177" spans="16:44">
      <c r="Q177" s="168" t="s">
        <v>4452</v>
      </c>
      <c r="R177" s="56">
        <v>1684827</v>
      </c>
      <c r="S177" s="113">
        <f>R177*$T$258</f>
        <v>521762500.08537179</v>
      </c>
      <c r="T177" s="168"/>
      <c r="U177" s="215">
        <f>$Q$174*$T$174*S177/$R$200</f>
        <v>355.27564348396231</v>
      </c>
      <c r="V177" s="95">
        <f t="shared" ref="V177:V178" si="42">S177+U177</f>
        <v>521762855.36101526</v>
      </c>
      <c r="W177" s="99">
        <f>R177*100/U255</f>
        <v>47.370085797861634</v>
      </c>
      <c r="X177" s="115"/>
    </row>
    <row r="178" spans="16:44">
      <c r="Q178" s="168" t="s">
        <v>4451</v>
      </c>
      <c r="R178" s="56">
        <v>47604</v>
      </c>
      <c r="S178" s="113">
        <f>R178*$T$258</f>
        <v>14742155.754901862</v>
      </c>
      <c r="T178" s="168"/>
      <c r="U178" s="215">
        <f>$Q$174*$T$174*S178/$R$200</f>
        <v>10.038147377986309</v>
      </c>
      <c r="V178" s="95">
        <f t="shared" si="42"/>
        <v>14742165.79304924</v>
      </c>
      <c r="W178" s="99">
        <f>R178*100/U255</f>
        <v>1.3384196503981745</v>
      </c>
      <c r="X178" s="115"/>
    </row>
    <row r="179" spans="16:44">
      <c r="Q179" s="168" t="s">
        <v>1087</v>
      </c>
      <c r="R179" s="56">
        <v>101933</v>
      </c>
      <c r="S179" s="113">
        <f>R179*$T$258</f>
        <v>31566930.563910834</v>
      </c>
      <c r="T179" s="168"/>
      <c r="U179" s="215">
        <f>$Q$174*$T$174*S179/$R$200</f>
        <v>21.49438023443993</v>
      </c>
      <c r="V179" s="95">
        <f>S179+U179</f>
        <v>31566952.05829107</v>
      </c>
      <c r="W179" s="99">
        <f>R179*100/U255</f>
        <v>2.8659173645919904</v>
      </c>
      <c r="X179" s="115"/>
    </row>
    <row r="180" spans="16:44">
      <c r="Q180" s="168"/>
      <c r="R180" s="56"/>
      <c r="S180" s="168"/>
      <c r="T180" s="168"/>
      <c r="U180" s="168"/>
      <c r="V180" s="168"/>
      <c r="W180" s="99"/>
      <c r="X180" s="96"/>
    </row>
    <row r="181" spans="16:44">
      <c r="P181" s="114"/>
      <c r="Q181" s="168"/>
      <c r="R181" s="168"/>
      <c r="S181" s="168"/>
      <c r="T181" s="168"/>
      <c r="U181" s="168"/>
      <c r="V181" s="168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 t="s">
        <v>25</v>
      </c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283</v>
      </c>
      <c r="AM182" s="99">
        <f>AJ182*AL182</f>
        <v>1006297060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281</v>
      </c>
      <c r="AM183" s="99">
        <f t="shared" ref="AM183:AM211" si="44">AJ183*AL183</f>
        <v>483555197</v>
      </c>
      <c r="AN183" s="99" t="s">
        <v>4314</v>
      </c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230</v>
      </c>
      <c r="AM184" s="99">
        <f t="shared" si="44"/>
        <v>34500000</v>
      </c>
      <c r="AN184" s="99"/>
    </row>
    <row r="185" spans="16:44">
      <c r="Q185" s="96"/>
      <c r="R185" s="96"/>
      <c r="S185" s="96"/>
      <c r="T185" s="96"/>
      <c r="V185" s="96"/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227</v>
      </c>
      <c r="AM185" s="99">
        <f t="shared" si="44"/>
        <v>-21565000</v>
      </c>
      <c r="AN185" s="99"/>
    </row>
    <row r="186" spans="16:44">
      <c r="Q186" s="96"/>
      <c r="R186" s="96"/>
      <c r="S186" s="96"/>
      <c r="T186" s="96"/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219</v>
      </c>
      <c r="AM186" s="99">
        <f t="shared" si="44"/>
        <v>689850000</v>
      </c>
      <c r="AN186" s="99"/>
    </row>
    <row r="187" spans="16:44">
      <c r="Q187" s="96"/>
      <c r="R187" s="96"/>
      <c r="S187" s="96"/>
      <c r="T187" s="96" t="s">
        <v>25</v>
      </c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203</v>
      </c>
      <c r="AM187" s="99">
        <f t="shared" si="44"/>
        <v>-13195000</v>
      </c>
      <c r="AN187" s="99"/>
    </row>
    <row r="188" spans="16:44">
      <c r="Q188" s="96"/>
      <c r="R188" s="96"/>
      <c r="S188" s="96"/>
      <c r="T188" s="96"/>
      <c r="V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202</v>
      </c>
      <c r="AM188" s="99">
        <f t="shared" si="44"/>
        <v>-19190000</v>
      </c>
      <c r="AN188" s="99"/>
    </row>
    <row r="189" spans="16:44">
      <c r="Q189" s="96"/>
      <c r="R189" s="96"/>
      <c r="S189" s="96"/>
      <c r="T189" s="99" t="s">
        <v>180</v>
      </c>
      <c r="U189" s="99" t="s">
        <v>4486</v>
      </c>
      <c r="V189" s="99" t="s">
        <v>4487</v>
      </c>
      <c r="W189" s="99" t="s">
        <v>4497</v>
      </c>
      <c r="X189" s="99" t="s">
        <v>8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196</v>
      </c>
      <c r="AM189" s="99">
        <f t="shared" si="44"/>
        <v>45472000</v>
      </c>
      <c r="AN189" s="99"/>
    </row>
    <row r="190" spans="16:44">
      <c r="Q190" s="36" t="s">
        <v>4572</v>
      </c>
      <c r="R190" s="95">
        <f>SUM(N46:N59)</f>
        <v>730372861</v>
      </c>
      <c r="T190" s="113" t="s">
        <v>4462</v>
      </c>
      <c r="U190" s="56">
        <v>1000000</v>
      </c>
      <c r="V190" s="113">
        <v>239.024</v>
      </c>
      <c r="W190" s="113">
        <f t="shared" ref="W190:W253" si="45">U190*V190</f>
        <v>239024000</v>
      </c>
      <c r="X190" s="99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189</v>
      </c>
      <c r="AM190" s="99">
        <f t="shared" si="44"/>
        <v>2457000000</v>
      </c>
      <c r="AN190" s="99"/>
    </row>
    <row r="191" spans="16:44">
      <c r="Q191" s="99" t="s">
        <v>4453</v>
      </c>
      <c r="R191" s="95">
        <f>SUM(N21:N26)</f>
        <v>328857909.69999999</v>
      </c>
      <c r="T191" s="168" t="s">
        <v>4444</v>
      </c>
      <c r="U191" s="56">
        <v>5904</v>
      </c>
      <c r="V191" s="113">
        <v>237.148</v>
      </c>
      <c r="W191" s="113">
        <f t="shared" si="45"/>
        <v>1400121.7919999999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187</v>
      </c>
      <c r="AM191" s="99">
        <f t="shared" si="44"/>
        <v>1870000000</v>
      </c>
      <c r="AN191" s="99"/>
    </row>
    <row r="192" spans="16:44">
      <c r="Q192" s="99" t="s">
        <v>4454</v>
      </c>
      <c r="R192" s="95">
        <f>SUM(N29:N33)</f>
        <v>37436791.199999996</v>
      </c>
      <c r="T192" s="168" t="s">
        <v>4232</v>
      </c>
      <c r="U192" s="168">
        <v>1000</v>
      </c>
      <c r="V192" s="113">
        <v>247.393</v>
      </c>
      <c r="W192" s="113">
        <f t="shared" si="45"/>
        <v>247393</v>
      </c>
      <c r="X192" s="99" t="s">
        <v>751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184</v>
      </c>
      <c r="AM192" s="99">
        <f t="shared" si="44"/>
        <v>625600000</v>
      </c>
      <c r="AN192" s="99"/>
    </row>
    <row r="193" spans="15:44">
      <c r="Q193" s="99" t="s">
        <v>4455</v>
      </c>
      <c r="R193" s="95">
        <f>N44</f>
        <v>162</v>
      </c>
      <c r="T193" s="168" t="s">
        <v>4498</v>
      </c>
      <c r="U193" s="168">
        <v>8071</v>
      </c>
      <c r="V193" s="113">
        <v>247.797</v>
      </c>
      <c r="W193" s="113">
        <f t="shared" si="45"/>
        <v>1999969.5870000001</v>
      </c>
      <c r="X193" s="99" t="s">
        <v>4451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175</v>
      </c>
      <c r="AM193" s="99">
        <f t="shared" si="44"/>
        <v>-1528889950</v>
      </c>
      <c r="AN193" s="99"/>
    </row>
    <row r="194" spans="15:44">
      <c r="Q194" s="99" t="s">
        <v>4456</v>
      </c>
      <c r="R194" s="95">
        <f>N20</f>
        <v>1550485</v>
      </c>
      <c r="T194" s="168" t="s">
        <v>4498</v>
      </c>
      <c r="U194" s="168">
        <v>53672</v>
      </c>
      <c r="V194" s="113">
        <v>247.797</v>
      </c>
      <c r="W194" s="113">
        <f t="shared" si="45"/>
        <v>13299760.584000001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174</v>
      </c>
      <c r="AM194" s="99">
        <f t="shared" si="44"/>
        <v>96570000</v>
      </c>
      <c r="AN194" s="99"/>
    </row>
    <row r="195" spans="15:44">
      <c r="Q195" s="99" t="s">
        <v>4457</v>
      </c>
      <c r="R195" s="95">
        <f>N28</f>
        <v>550417</v>
      </c>
      <c r="T195" s="168" t="s">
        <v>4506</v>
      </c>
      <c r="U195" s="168">
        <v>4099</v>
      </c>
      <c r="V195" s="113">
        <v>243.93</v>
      </c>
      <c r="W195" s="113">
        <f t="shared" si="45"/>
        <v>999869.07000000007</v>
      </c>
      <c r="X195" s="99" t="s">
        <v>4451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169</v>
      </c>
      <c r="AM195" s="99">
        <f t="shared" si="44"/>
        <v>-75764052</v>
      </c>
      <c r="AN195" s="99"/>
    </row>
    <row r="196" spans="15:44">
      <c r="Q196" s="99" t="s">
        <v>4469</v>
      </c>
      <c r="R196" s="95">
        <v>0</v>
      </c>
      <c r="T196" s="168" t="s">
        <v>4506</v>
      </c>
      <c r="U196" s="168">
        <v>9301</v>
      </c>
      <c r="V196" s="113">
        <v>243.93</v>
      </c>
      <c r="W196" s="113">
        <f t="shared" si="45"/>
        <v>2268792.9300000002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163</v>
      </c>
      <c r="AM196" s="99">
        <f t="shared" si="44"/>
        <v>5415675</v>
      </c>
      <c r="AN196" s="99"/>
    </row>
    <row r="197" spans="15:44">
      <c r="Q197" s="99" t="s">
        <v>5033</v>
      </c>
      <c r="R197" s="95">
        <v>2500000</v>
      </c>
      <c r="T197" s="168" t="s">
        <v>4512</v>
      </c>
      <c r="U197" s="168">
        <v>8334</v>
      </c>
      <c r="V197" s="113">
        <v>239.97</v>
      </c>
      <c r="W197" s="113">
        <f t="shared" si="45"/>
        <v>1999909.98</v>
      </c>
      <c r="X197" s="99" t="s">
        <v>4451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163</v>
      </c>
      <c r="AM197" s="149">
        <f t="shared" si="44"/>
        <v>668059249</v>
      </c>
      <c r="AN197" s="149" t="s">
        <v>657</v>
      </c>
    </row>
    <row r="198" spans="15:44">
      <c r="Q198" s="99" t="s">
        <v>4936</v>
      </c>
      <c r="R198" s="95">
        <v>200000</v>
      </c>
      <c r="T198" s="168" t="s">
        <v>4231</v>
      </c>
      <c r="U198" s="168">
        <v>29041</v>
      </c>
      <c r="V198" s="113">
        <v>233.45</v>
      </c>
      <c r="W198" s="113">
        <f t="shared" si="45"/>
        <v>6779621.4499999993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161</v>
      </c>
      <c r="AM198" s="149">
        <f t="shared" si="44"/>
        <v>-161000000</v>
      </c>
      <c r="AN198" s="149" t="s">
        <v>657</v>
      </c>
    </row>
    <row r="199" spans="15:44">
      <c r="Q199" s="99" t="s">
        <v>4718</v>
      </c>
      <c r="R199" s="95">
        <v>-8725</v>
      </c>
      <c r="S199" s="115"/>
      <c r="T199" s="168" t="s">
        <v>994</v>
      </c>
      <c r="U199" s="168">
        <v>12337</v>
      </c>
      <c r="V199" s="113">
        <v>243.16300000000001</v>
      </c>
      <c r="W199" s="113">
        <f t="shared" si="45"/>
        <v>2999901.9310000003</v>
      </c>
      <c r="X199" s="99" t="s">
        <v>4451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154</v>
      </c>
      <c r="AM199" s="149">
        <f t="shared" si="44"/>
        <v>115500000</v>
      </c>
      <c r="AN199" s="149" t="s">
        <v>657</v>
      </c>
      <c r="AQ199" t="s">
        <v>25</v>
      </c>
    </row>
    <row r="200" spans="15:44">
      <c r="Q200" s="99" t="s">
        <v>4461</v>
      </c>
      <c r="R200" s="95">
        <f>SUM(R190:R199)</f>
        <v>1101459900.9000001</v>
      </c>
      <c r="S200" s="122"/>
      <c r="T200" s="168" t="s">
        <v>4595</v>
      </c>
      <c r="U200" s="168">
        <v>-16118</v>
      </c>
      <c r="V200" s="113">
        <v>248.17</v>
      </c>
      <c r="W200" s="113">
        <f t="shared" si="45"/>
        <v>-4000004.0599999996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153</v>
      </c>
      <c r="AM200" s="196">
        <f t="shared" si="44"/>
        <v>-92435256</v>
      </c>
      <c r="AN200" s="196" t="s">
        <v>657</v>
      </c>
    </row>
    <row r="201" spans="15:44">
      <c r="P201" s="96"/>
      <c r="Q201" s="96"/>
      <c r="S201" s="115"/>
      <c r="T201" s="168" t="s">
        <v>4624</v>
      </c>
      <c r="U201" s="168">
        <v>101681</v>
      </c>
      <c r="V201" s="113">
        <v>246.5711</v>
      </c>
      <c r="W201" s="113">
        <f t="shared" si="45"/>
        <v>25071596.019099999</v>
      </c>
      <c r="X201" s="99" t="s">
        <v>452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153</v>
      </c>
      <c r="AM201" s="99">
        <f t="shared" si="44"/>
        <v>-89823699</v>
      </c>
      <c r="AN201" s="99"/>
    </row>
    <row r="202" spans="15:44">
      <c r="Q202" s="96"/>
      <c r="R202" s="182"/>
      <c r="S202" s="115"/>
      <c r="T202" s="168" t="s">
        <v>4628</v>
      </c>
      <c r="U202" s="168">
        <v>66606</v>
      </c>
      <c r="V202" s="113">
        <v>251.131</v>
      </c>
      <c r="W202" s="113">
        <f t="shared" si="45"/>
        <v>16726831.386</v>
      </c>
      <c r="X202" s="99" t="s">
        <v>751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149</v>
      </c>
      <c r="AM202" s="196">
        <f t="shared" si="44"/>
        <v>-112398299</v>
      </c>
      <c r="AN202" s="196" t="s">
        <v>657</v>
      </c>
      <c r="AR202" t="s">
        <v>25</v>
      </c>
    </row>
    <row r="203" spans="15:44">
      <c r="Q203" s="96"/>
      <c r="R203" s="182"/>
      <c r="T203" s="168" t="s">
        <v>4635</v>
      </c>
      <c r="U203" s="168">
        <v>172025</v>
      </c>
      <c r="V203" s="113">
        <v>245.52809999999999</v>
      </c>
      <c r="W203" s="113">
        <f t="shared" si="45"/>
        <v>42236971.402499996</v>
      </c>
      <c r="X203" s="99" t="s">
        <v>452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149</v>
      </c>
      <c r="AM203" s="99">
        <f t="shared" si="44"/>
        <v>-28253231</v>
      </c>
      <c r="AN203" s="99"/>
    </row>
    <row r="204" spans="15:44">
      <c r="Q204" s="96"/>
      <c r="R204" s="115"/>
      <c r="T204" s="168" t="s">
        <v>4635</v>
      </c>
      <c r="U204" s="168">
        <v>189227</v>
      </c>
      <c r="V204" s="113">
        <v>245.52809999999999</v>
      </c>
      <c r="W204" s="113">
        <f t="shared" si="45"/>
        <v>46460545.778700002</v>
      </c>
      <c r="X204" s="99" t="s">
        <v>751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134</v>
      </c>
      <c r="AM204" s="196">
        <f t="shared" si="44"/>
        <v>951400</v>
      </c>
      <c r="AN204" s="196" t="s">
        <v>657</v>
      </c>
    </row>
    <row r="205" spans="15:44"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452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134</v>
      </c>
      <c r="AM205" s="20">
        <f t="shared" si="44"/>
        <v>-19818868</v>
      </c>
      <c r="AN205" s="20"/>
      <c r="AR205" t="s">
        <v>25</v>
      </c>
    </row>
    <row r="206" spans="15:44">
      <c r="P206" s="99" t="s">
        <v>8</v>
      </c>
      <c r="Q206" s="99" t="s">
        <v>4451</v>
      </c>
      <c r="R206" s="99"/>
      <c r="T206" s="168" t="s">
        <v>4638</v>
      </c>
      <c r="U206" s="168">
        <v>79720</v>
      </c>
      <c r="V206" s="113">
        <v>246.6568</v>
      </c>
      <c r="W206" s="113">
        <f t="shared" si="45"/>
        <v>19663480.096000001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131</v>
      </c>
      <c r="AM206" s="196">
        <f t="shared" si="44"/>
        <v>-4873200</v>
      </c>
      <c r="AN206" s="149" t="s">
        <v>657</v>
      </c>
    </row>
    <row r="207" spans="15:44">
      <c r="P207" s="99"/>
      <c r="Q207" s="36" t="s">
        <v>180</v>
      </c>
      <c r="R207" s="99" t="s">
        <v>267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127</v>
      </c>
      <c r="AM207" s="20">
        <f t="shared" si="44"/>
        <v>-47285402</v>
      </c>
      <c r="AN207" s="99"/>
    </row>
    <row r="208" spans="15:44">
      <c r="O208" t="s">
        <v>25</v>
      </c>
      <c r="P208" s="99"/>
      <c r="Q208" s="99" t="s">
        <v>4444</v>
      </c>
      <c r="R208" s="95">
        <v>3000000</v>
      </c>
      <c r="T208" s="168" t="s">
        <v>4665</v>
      </c>
      <c r="U208" s="168">
        <v>17769</v>
      </c>
      <c r="V208" s="113">
        <v>246.17877999999999</v>
      </c>
      <c r="W208" s="113">
        <f t="shared" si="45"/>
        <v>4374350.7418200001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106</v>
      </c>
      <c r="AM208" s="20">
        <f t="shared" si="44"/>
        <v>24916572</v>
      </c>
      <c r="AN208" s="99"/>
    </row>
    <row r="209" spans="16:45">
      <c r="P209" s="99"/>
      <c r="Q209" s="99" t="s">
        <v>4498</v>
      </c>
      <c r="R209" s="95">
        <v>2000000</v>
      </c>
      <c r="T209" s="168" t="s">
        <v>4671</v>
      </c>
      <c r="U209" s="168">
        <v>12438</v>
      </c>
      <c r="V209" s="113">
        <v>241.20465999999999</v>
      </c>
      <c r="W209" s="113">
        <f t="shared" si="45"/>
        <v>3000103.5610799999</v>
      </c>
      <c r="X209" s="99" t="s">
        <v>4451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106</v>
      </c>
      <c r="AM209" s="149">
        <f t="shared" si="44"/>
        <v>24916572</v>
      </c>
      <c r="AN209" s="149" t="s">
        <v>657</v>
      </c>
      <c r="AP209" t="s">
        <v>25</v>
      </c>
    </row>
    <row r="210" spans="16:45">
      <c r="P210" s="99"/>
      <c r="Q210" s="99" t="s">
        <v>4506</v>
      </c>
      <c r="R210" s="95">
        <v>1000000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751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97</v>
      </c>
      <c r="AM210" s="149">
        <f t="shared" si="44"/>
        <v>43650000</v>
      </c>
      <c r="AN210" s="149" t="s">
        <v>657</v>
      </c>
    </row>
    <row r="211" spans="16:45">
      <c r="P211" s="99"/>
      <c r="Q211" s="99" t="s">
        <v>4512</v>
      </c>
      <c r="R211" s="95">
        <v>2000000</v>
      </c>
      <c r="T211" s="168" t="s">
        <v>4681</v>
      </c>
      <c r="U211" s="168">
        <v>27363</v>
      </c>
      <c r="V211" s="113">
        <v>239.3886</v>
      </c>
      <c r="W211" s="113">
        <f t="shared" si="45"/>
        <v>6550390.2617999995</v>
      </c>
      <c r="X211" s="99" t="s">
        <v>452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97</v>
      </c>
      <c r="AM211" s="20">
        <f t="shared" si="44"/>
        <v>43650000</v>
      </c>
      <c r="AN211" s="20"/>
      <c r="AR211" t="s">
        <v>25</v>
      </c>
    </row>
    <row r="212" spans="16:45">
      <c r="P212" s="99"/>
      <c r="Q212" s="99" t="s">
        <v>994</v>
      </c>
      <c r="R212" s="95">
        <v>3000000</v>
      </c>
      <c r="T212" s="212" t="s">
        <v>4685</v>
      </c>
      <c r="U212" s="212">
        <v>27437</v>
      </c>
      <c r="V212" s="113">
        <v>242.4015</v>
      </c>
      <c r="W212" s="113">
        <f t="shared" si="45"/>
        <v>6650769.9555000002</v>
      </c>
      <c r="X212" s="99" t="s">
        <v>751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27" si="47">AK212+AL213</f>
        <v>75</v>
      </c>
      <c r="AM212" s="149">
        <f t="shared" ref="AM212:AM215" si="48">AJ212*AL212</f>
        <v>22500000</v>
      </c>
      <c r="AN212" s="149"/>
      <c r="AQ212" t="s">
        <v>25</v>
      </c>
    </row>
    <row r="213" spans="16:45" ht="30">
      <c r="P213" s="99"/>
      <c r="Q213" s="99" t="s">
        <v>4671</v>
      </c>
      <c r="R213" s="95">
        <v>3000000</v>
      </c>
      <c r="T213" s="212" t="s">
        <v>4685</v>
      </c>
      <c r="U213" s="212">
        <v>29104</v>
      </c>
      <c r="V213" s="113">
        <v>242.4015</v>
      </c>
      <c r="W213" s="113">
        <f t="shared" si="45"/>
        <v>7054853.2560000001</v>
      </c>
      <c r="X213" s="99" t="s">
        <v>452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75</v>
      </c>
      <c r="AM213" s="121">
        <f t="shared" si="48"/>
        <v>21670200</v>
      </c>
      <c r="AN213" s="207" t="s">
        <v>4754</v>
      </c>
    </row>
    <row r="214" spans="16:45">
      <c r="P214" s="99" t="s">
        <v>4920</v>
      </c>
      <c r="Q214" s="99" t="s">
        <v>4913</v>
      </c>
      <c r="R214" s="95">
        <v>-800000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751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72</v>
      </c>
      <c r="AM214" s="121">
        <f t="shared" si="48"/>
        <v>1293299352</v>
      </c>
      <c r="AN214" s="121" t="s">
        <v>4759</v>
      </c>
    </row>
    <row r="215" spans="16:45">
      <c r="P215" s="99" t="s">
        <v>4921</v>
      </c>
      <c r="Q215" s="99" t="s">
        <v>4913</v>
      </c>
      <c r="R215" s="95">
        <v>-900000</v>
      </c>
      <c r="T215" s="215" t="s">
        <v>4722</v>
      </c>
      <c r="U215" s="215">
        <v>8991</v>
      </c>
      <c r="V215" s="113">
        <v>238.64867000000001</v>
      </c>
      <c r="W215" s="113">
        <f t="shared" si="45"/>
        <v>2145690.19197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71</v>
      </c>
      <c r="AM215" s="121">
        <f t="shared" si="48"/>
        <v>1303809281</v>
      </c>
      <c r="AN215" s="121" t="s">
        <v>4759</v>
      </c>
    </row>
    <row r="216" spans="16:45">
      <c r="P216" s="99" t="s">
        <v>4921</v>
      </c>
      <c r="Q216" s="99" t="s">
        <v>981</v>
      </c>
      <c r="R216" s="95">
        <v>-1100000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751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70</v>
      </c>
      <c r="AM216" s="121">
        <f t="shared" ref="AM216:AM219" si="49">AJ216*AL216</f>
        <v>1653569190</v>
      </c>
      <c r="AN216" s="121" t="s">
        <v>4774</v>
      </c>
      <c r="AS216" t="s">
        <v>25</v>
      </c>
    </row>
    <row r="217" spans="16:45">
      <c r="P217" s="196" t="s">
        <v>1087</v>
      </c>
      <c r="Q217" s="196" t="s">
        <v>4954</v>
      </c>
      <c r="R217" s="245">
        <v>30000000</v>
      </c>
      <c r="S217" t="s">
        <v>25</v>
      </c>
      <c r="T217" s="215" t="s">
        <v>4737</v>
      </c>
      <c r="U217" s="215">
        <v>18170</v>
      </c>
      <c r="V217" s="113">
        <v>240.48475999999999</v>
      </c>
      <c r="W217" s="113">
        <f t="shared" si="45"/>
        <v>4369608.0892000003</v>
      </c>
      <c r="X217" s="99" t="s">
        <v>452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65</v>
      </c>
      <c r="AM217" s="121">
        <f t="shared" si="49"/>
        <v>5362247020</v>
      </c>
      <c r="AN217" s="121" t="s">
        <v>4794</v>
      </c>
    </row>
    <row r="218" spans="16:45">
      <c r="P218" s="99"/>
      <c r="Q218" s="99"/>
      <c r="R218" s="95"/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751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64</v>
      </c>
      <c r="AM218" s="121">
        <f t="shared" si="49"/>
        <v>4778083904</v>
      </c>
      <c r="AN218" s="121" t="s">
        <v>4802</v>
      </c>
    </row>
    <row r="219" spans="16:45">
      <c r="P219" s="99"/>
      <c r="Q219" s="99"/>
      <c r="R219" s="95">
        <f>SUM(R208:R217)</f>
        <v>41200000</v>
      </c>
      <c r="T219" s="215" t="s">
        <v>4741</v>
      </c>
      <c r="U219" s="215">
        <v>36797</v>
      </c>
      <c r="V219" s="113">
        <v>239.0822</v>
      </c>
      <c r="W219" s="113">
        <f t="shared" si="45"/>
        <v>8797507.7134000007</v>
      </c>
      <c r="X219" s="99" t="s">
        <v>452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48</v>
      </c>
      <c r="AM219" s="20">
        <f t="shared" si="49"/>
        <v>31920000</v>
      </c>
      <c r="AN219" s="99"/>
    </row>
    <row r="220" spans="16:45">
      <c r="P220" s="99"/>
      <c r="Q220" s="99"/>
      <c r="R220" s="99" t="s">
        <v>6</v>
      </c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751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48</v>
      </c>
      <c r="AM220" s="196">
        <f t="shared" ref="AM220:AM221" si="50">AJ220*AL220</f>
        <v>31920000</v>
      </c>
      <c r="AN220" s="196"/>
    </row>
    <row r="221" spans="16:45">
      <c r="T221" s="215" t="s">
        <v>4752</v>
      </c>
      <c r="U221" s="215">
        <v>28066</v>
      </c>
      <c r="V221" s="113">
        <v>237.56970000000001</v>
      </c>
      <c r="W221" s="113">
        <f t="shared" si="45"/>
        <v>6667631.2002000008</v>
      </c>
      <c r="X221" s="99" t="s">
        <v>452</v>
      </c>
      <c r="AH221" s="20">
        <v>40</v>
      </c>
      <c r="AI221" s="20" t="s">
        <v>4905</v>
      </c>
      <c r="AJ221" s="117">
        <v>2000000</v>
      </c>
      <c r="AK221" s="20">
        <v>1</v>
      </c>
      <c r="AL221" s="99">
        <f t="shared" si="47"/>
        <v>44</v>
      </c>
      <c r="AM221" s="20">
        <f t="shared" si="50"/>
        <v>88000000</v>
      </c>
      <c r="AN221" s="99"/>
    </row>
    <row r="222" spans="16:45"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751</v>
      </c>
      <c r="Y222" s="96"/>
      <c r="AH222" s="20">
        <v>41</v>
      </c>
      <c r="AI222" s="20" t="s">
        <v>4913</v>
      </c>
      <c r="AJ222" s="117">
        <v>-2060725</v>
      </c>
      <c r="AK222" s="20">
        <v>0</v>
      </c>
      <c r="AL222" s="99">
        <f t="shared" si="47"/>
        <v>43</v>
      </c>
      <c r="AM222" s="20">
        <f t="shared" ref="AM222:AM227" si="51">AJ222*AL222</f>
        <v>-88611175</v>
      </c>
      <c r="AN222" s="99" t="s">
        <v>4914</v>
      </c>
    </row>
    <row r="223" spans="16:45">
      <c r="Q223" s="96"/>
      <c r="R223" s="96"/>
      <c r="T223" s="215" t="s">
        <v>3684</v>
      </c>
      <c r="U223" s="215">
        <v>37457</v>
      </c>
      <c r="V223" s="113">
        <v>239.77</v>
      </c>
      <c r="W223" s="113">
        <f t="shared" si="45"/>
        <v>8981064.8900000006</v>
      </c>
      <c r="X223" s="99" t="s">
        <v>452</v>
      </c>
      <c r="Y223" t="s">
        <v>25</v>
      </c>
      <c r="AH223" s="149">
        <v>42</v>
      </c>
      <c r="AI223" s="149" t="s">
        <v>4913</v>
      </c>
      <c r="AJ223" s="189">
        <v>-433375</v>
      </c>
      <c r="AK223" s="149">
        <v>0</v>
      </c>
      <c r="AL223" s="149">
        <f t="shared" si="47"/>
        <v>43</v>
      </c>
      <c r="AM223" s="149">
        <f t="shared" si="51"/>
        <v>-18635125</v>
      </c>
      <c r="AN223" s="149" t="s">
        <v>4915</v>
      </c>
    </row>
    <row r="224" spans="16:45"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751</v>
      </c>
      <c r="Z224" t="s">
        <v>25</v>
      </c>
      <c r="AH224" s="20">
        <v>43</v>
      </c>
      <c r="AI224" s="20" t="s">
        <v>4913</v>
      </c>
      <c r="AJ224" s="117">
        <v>28000000</v>
      </c>
      <c r="AK224" s="20">
        <v>1</v>
      </c>
      <c r="AL224" s="99">
        <f t="shared" si="47"/>
        <v>43</v>
      </c>
      <c r="AM224" s="20">
        <f t="shared" si="51"/>
        <v>1204000000</v>
      </c>
      <c r="AN224" s="99" t="s">
        <v>3891</v>
      </c>
    </row>
    <row r="225" spans="17:44">
      <c r="Q225" s="99" t="s">
        <v>751</v>
      </c>
      <c r="R225" s="99"/>
      <c r="T225" s="215" t="s">
        <v>4765</v>
      </c>
      <c r="U225" s="215">
        <v>38412</v>
      </c>
      <c r="V225" s="113">
        <v>239.03</v>
      </c>
      <c r="W225" s="113">
        <f t="shared" si="45"/>
        <v>9181620.3599999994</v>
      </c>
      <c r="X225" s="99" t="s">
        <v>452</v>
      </c>
      <c r="AH225" s="20">
        <v>44</v>
      </c>
      <c r="AI225" s="20" t="s">
        <v>4924</v>
      </c>
      <c r="AJ225" s="117">
        <v>160000</v>
      </c>
      <c r="AK225" s="20">
        <v>0</v>
      </c>
      <c r="AL225" s="99">
        <f t="shared" si="47"/>
        <v>42</v>
      </c>
      <c r="AM225" s="20">
        <f t="shared" si="51"/>
        <v>6720000</v>
      </c>
      <c r="AN225" s="99"/>
    </row>
    <row r="226" spans="17:44">
      <c r="Q226" s="99" t="s">
        <v>4444</v>
      </c>
      <c r="R226" s="95">
        <v>172908000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751</v>
      </c>
      <c r="AH226" s="149">
        <v>45</v>
      </c>
      <c r="AI226" s="149" t="s">
        <v>4924</v>
      </c>
      <c r="AJ226" s="189">
        <v>70000</v>
      </c>
      <c r="AK226" s="149">
        <v>9</v>
      </c>
      <c r="AL226" s="149">
        <f t="shared" si="47"/>
        <v>42</v>
      </c>
      <c r="AM226" s="149">
        <f t="shared" si="51"/>
        <v>2940000</v>
      </c>
      <c r="AN226" s="149"/>
    </row>
    <row r="227" spans="17:44">
      <c r="Q227" s="99" t="s">
        <v>4485</v>
      </c>
      <c r="R227" s="95">
        <v>1400000</v>
      </c>
      <c r="T227" s="215" t="s">
        <v>4775</v>
      </c>
      <c r="U227" s="215">
        <v>49555</v>
      </c>
      <c r="V227" s="113">
        <v>238.345</v>
      </c>
      <c r="W227" s="113">
        <f t="shared" si="45"/>
        <v>11811186.475</v>
      </c>
      <c r="X227" s="99" t="s">
        <v>452</v>
      </c>
      <c r="AH227" s="20">
        <v>46</v>
      </c>
      <c r="AI227" s="20" t="s">
        <v>4938</v>
      </c>
      <c r="AJ227" s="117">
        <v>850000</v>
      </c>
      <c r="AK227" s="20">
        <v>0</v>
      </c>
      <c r="AL227" s="99">
        <f t="shared" si="47"/>
        <v>33</v>
      </c>
      <c r="AM227" s="20">
        <f t="shared" si="51"/>
        <v>28050000</v>
      </c>
      <c r="AN227" s="99"/>
    </row>
    <row r="228" spans="17:44">
      <c r="Q228" s="99" t="s">
        <v>4232</v>
      </c>
      <c r="R228" s="95">
        <v>247393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751</v>
      </c>
      <c r="AH228" s="196">
        <v>47</v>
      </c>
      <c r="AI228" s="196" t="s">
        <v>4938</v>
      </c>
      <c r="AJ228" s="197">
        <v>20000</v>
      </c>
      <c r="AK228" s="196">
        <v>4</v>
      </c>
      <c r="AL228" s="196">
        <f t="shared" ref="AL228:AL240" si="52">AK228+AL229</f>
        <v>33</v>
      </c>
      <c r="AM228" s="196">
        <f t="shared" ref="AM228:AM240" si="53">AJ228*AL228</f>
        <v>660000</v>
      </c>
      <c r="AN228" s="196"/>
      <c r="AQ228" t="s">
        <v>25</v>
      </c>
    </row>
    <row r="229" spans="17:44">
      <c r="Q229" s="99" t="s">
        <v>4231</v>
      </c>
      <c r="R229" s="95">
        <v>6780000</v>
      </c>
      <c r="T229" s="215" t="s">
        <v>4793</v>
      </c>
      <c r="U229" s="215">
        <v>160187</v>
      </c>
      <c r="V229" s="113">
        <v>257.49799999999999</v>
      </c>
      <c r="W229" s="113">
        <f t="shared" si="45"/>
        <v>41247832.126000002</v>
      </c>
      <c r="X229" s="99" t="s">
        <v>452</v>
      </c>
      <c r="AH229" s="196">
        <v>48</v>
      </c>
      <c r="AI229" s="196" t="s">
        <v>4954</v>
      </c>
      <c r="AJ229" s="197">
        <v>30000000</v>
      </c>
      <c r="AK229" s="196">
        <v>27</v>
      </c>
      <c r="AL229" s="196">
        <f t="shared" si="52"/>
        <v>29</v>
      </c>
      <c r="AM229" s="196">
        <f t="shared" si="53"/>
        <v>870000000</v>
      </c>
      <c r="AN229" s="196" t="s">
        <v>4956</v>
      </c>
    </row>
    <row r="230" spans="17:44">
      <c r="Q230" s="99" t="s">
        <v>4595</v>
      </c>
      <c r="R230" s="95">
        <v>-4000000</v>
      </c>
      <c r="S230" t="s">
        <v>25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751</v>
      </c>
      <c r="AH230" s="20">
        <v>49</v>
      </c>
      <c r="AI230" s="20" t="s">
        <v>5055</v>
      </c>
      <c r="AJ230" s="117">
        <v>1100000</v>
      </c>
      <c r="AK230" s="20">
        <v>1</v>
      </c>
      <c r="AL230" s="20">
        <f t="shared" si="52"/>
        <v>2</v>
      </c>
      <c r="AM230" s="20">
        <f t="shared" si="53"/>
        <v>2200000</v>
      </c>
      <c r="AN230" s="20"/>
    </row>
    <row r="231" spans="17:44">
      <c r="Q231" s="99" t="s">
        <v>4628</v>
      </c>
      <c r="R231" s="95">
        <v>16727037</v>
      </c>
      <c r="T231" s="215" t="s">
        <v>4803</v>
      </c>
      <c r="U231" s="215">
        <v>144401</v>
      </c>
      <c r="V231" s="113">
        <v>258.5061</v>
      </c>
      <c r="W231" s="113">
        <f t="shared" si="45"/>
        <v>37328539.346100003</v>
      </c>
      <c r="X231" s="99" t="s">
        <v>452</v>
      </c>
      <c r="AH231" s="20">
        <v>50</v>
      </c>
      <c r="AI231" s="20" t="s">
        <v>5057</v>
      </c>
      <c r="AJ231" s="117">
        <v>450000</v>
      </c>
      <c r="AK231" s="20">
        <v>0</v>
      </c>
      <c r="AL231" s="20">
        <f t="shared" si="52"/>
        <v>1</v>
      </c>
      <c r="AM231" s="20">
        <f t="shared" si="53"/>
        <v>450000</v>
      </c>
      <c r="AN231" s="20"/>
    </row>
    <row r="232" spans="17:44">
      <c r="Q232" s="99" t="s">
        <v>4635</v>
      </c>
      <c r="R232" s="95">
        <v>46460683</v>
      </c>
      <c r="T232" s="168" t="s">
        <v>4812</v>
      </c>
      <c r="U232" s="168">
        <v>196500</v>
      </c>
      <c r="V232" s="113">
        <v>254.452</v>
      </c>
      <c r="W232" s="113">
        <f t="shared" si="45"/>
        <v>49999818</v>
      </c>
      <c r="X232" s="99" t="s">
        <v>4820</v>
      </c>
      <c r="AH232" s="196">
        <v>51</v>
      </c>
      <c r="AI232" s="196" t="s">
        <v>5057</v>
      </c>
      <c r="AJ232" s="197">
        <v>550000</v>
      </c>
      <c r="AK232" s="196">
        <v>1</v>
      </c>
      <c r="AL232" s="196">
        <f t="shared" si="52"/>
        <v>1</v>
      </c>
      <c r="AM232" s="196">
        <f t="shared" si="53"/>
        <v>550000</v>
      </c>
      <c r="AN232" s="196"/>
    </row>
    <row r="233" spans="17:44">
      <c r="Q233" s="99" t="s">
        <v>4638</v>
      </c>
      <c r="R233" s="95">
        <v>19663646</v>
      </c>
      <c r="T233" s="215" t="s">
        <v>4812</v>
      </c>
      <c r="U233" s="215">
        <v>2561</v>
      </c>
      <c r="V233" s="113">
        <v>254.536</v>
      </c>
      <c r="W233" s="113">
        <f t="shared" si="45"/>
        <v>651866.696</v>
      </c>
      <c r="X233" s="99" t="s">
        <v>4821</v>
      </c>
      <c r="AH233" s="20"/>
      <c r="AI233" s="20"/>
      <c r="AJ233" s="117"/>
      <c r="AK233" s="20"/>
      <c r="AL233" s="20">
        <f t="shared" si="52"/>
        <v>0</v>
      </c>
      <c r="AM233" s="20">
        <f t="shared" si="53"/>
        <v>0</v>
      </c>
      <c r="AN233" s="20"/>
    </row>
    <row r="234" spans="17:44">
      <c r="Q234" s="99" t="s">
        <v>4665</v>
      </c>
      <c r="R234" s="95">
        <v>4374525</v>
      </c>
      <c r="S234" t="s">
        <v>25</v>
      </c>
      <c r="T234" s="215" t="s">
        <v>4872</v>
      </c>
      <c r="U234" s="215">
        <v>-11795</v>
      </c>
      <c r="V234" s="113">
        <v>254.334</v>
      </c>
      <c r="W234" s="113">
        <f t="shared" si="45"/>
        <v>-2999869.5300000003</v>
      </c>
      <c r="X234" s="99" t="s">
        <v>4873</v>
      </c>
      <c r="AH234" s="20"/>
      <c r="AI234" s="20"/>
      <c r="AJ234" s="117"/>
      <c r="AK234" s="20"/>
      <c r="AL234" s="20">
        <f t="shared" si="52"/>
        <v>0</v>
      </c>
      <c r="AM234" s="20">
        <f t="shared" si="53"/>
        <v>0</v>
      </c>
      <c r="AN234" s="20"/>
    </row>
    <row r="235" spans="17:44">
      <c r="Q235" s="99" t="s">
        <v>4681</v>
      </c>
      <c r="R235" s="95">
        <v>6550580</v>
      </c>
      <c r="T235" s="215" t="s">
        <v>4872</v>
      </c>
      <c r="U235" s="215">
        <v>11795</v>
      </c>
      <c r="V235" s="113">
        <v>254.334</v>
      </c>
      <c r="W235" s="113">
        <f t="shared" si="45"/>
        <v>2999869.5300000003</v>
      </c>
      <c r="X235" s="99" t="s">
        <v>4874</v>
      </c>
      <c r="AH235" s="20"/>
      <c r="AI235" s="20"/>
      <c r="AJ235" s="117"/>
      <c r="AK235" s="20"/>
      <c r="AL235" s="20">
        <f t="shared" si="52"/>
        <v>0</v>
      </c>
      <c r="AM235" s="20">
        <f t="shared" si="53"/>
        <v>0</v>
      </c>
      <c r="AN235" s="20"/>
    </row>
    <row r="236" spans="17:44">
      <c r="Q236" s="99" t="s">
        <v>4685</v>
      </c>
      <c r="R236" s="95">
        <v>6650895</v>
      </c>
      <c r="T236" s="215" t="s">
        <v>4890</v>
      </c>
      <c r="U236" s="215">
        <v>260</v>
      </c>
      <c r="V236" s="113">
        <v>263.19</v>
      </c>
      <c r="W236" s="113">
        <f t="shared" si="45"/>
        <v>68429.399999999994</v>
      </c>
      <c r="X236" s="99" t="s">
        <v>452</v>
      </c>
      <c r="AH236" s="20"/>
      <c r="AI236" s="20"/>
      <c r="AJ236" s="117"/>
      <c r="AK236" s="20"/>
      <c r="AL236" s="20">
        <f t="shared" si="52"/>
        <v>0</v>
      </c>
      <c r="AM236" s="20">
        <f t="shared" si="53"/>
        <v>0</v>
      </c>
      <c r="AN236" s="20"/>
      <c r="AR236" t="s">
        <v>25</v>
      </c>
    </row>
    <row r="237" spans="17:44">
      <c r="Q237" s="99" t="s">
        <v>4722</v>
      </c>
      <c r="R237" s="95">
        <v>2145814</v>
      </c>
      <c r="T237" s="215" t="s">
        <v>4905</v>
      </c>
      <c r="U237" s="215">
        <v>15257</v>
      </c>
      <c r="V237" s="113">
        <v>262.19018</v>
      </c>
      <c r="W237" s="113">
        <f t="shared" si="45"/>
        <v>4000235.57626</v>
      </c>
      <c r="X237" s="99" t="s">
        <v>452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7:44">
      <c r="Q238" s="99" t="s">
        <v>4737</v>
      </c>
      <c r="R238" s="95">
        <v>4369730</v>
      </c>
      <c r="T238" s="215" t="s">
        <v>4905</v>
      </c>
      <c r="U238" s="215">
        <v>8444</v>
      </c>
      <c r="V238" s="113">
        <v>266.43029999999999</v>
      </c>
      <c r="W238" s="113">
        <f t="shared" si="45"/>
        <v>2249737.4531999999</v>
      </c>
      <c r="X238" s="99" t="s">
        <v>452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7:44">
      <c r="Q239" s="99" t="s">
        <v>4741</v>
      </c>
      <c r="R239" s="95">
        <v>8739459</v>
      </c>
      <c r="T239" s="215" t="s">
        <v>4913</v>
      </c>
      <c r="U239" s="215">
        <v>-6209</v>
      </c>
      <c r="V239" s="113">
        <v>273.79649999999998</v>
      </c>
      <c r="W239" s="113">
        <f t="shared" si="45"/>
        <v>-1700002.4685</v>
      </c>
      <c r="X239" s="99" t="s">
        <v>4926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7:44">
      <c r="Q240" s="99" t="s">
        <v>4752</v>
      </c>
      <c r="R240" s="95">
        <v>6667654</v>
      </c>
      <c r="T240" s="215" t="s">
        <v>4913</v>
      </c>
      <c r="U240" s="215">
        <v>-8014</v>
      </c>
      <c r="V240" s="113">
        <v>273.79649999999998</v>
      </c>
      <c r="W240" s="113">
        <f t="shared" si="45"/>
        <v>-2194205.1510000001</v>
      </c>
      <c r="X240" s="99" t="s">
        <v>751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4760</v>
      </c>
      <c r="R241" s="95">
        <v>8981245</v>
      </c>
      <c r="S241" t="s">
        <v>25</v>
      </c>
      <c r="T241" s="215" t="s">
        <v>4924</v>
      </c>
      <c r="U241" s="215">
        <v>-9176</v>
      </c>
      <c r="V241" s="113">
        <v>273.79649999999998</v>
      </c>
      <c r="W241" s="113">
        <f t="shared" si="45"/>
        <v>-2512356.6839999999</v>
      </c>
      <c r="X241" s="99" t="s">
        <v>452</v>
      </c>
      <c r="AH241" s="99"/>
      <c r="AI241" s="99"/>
      <c r="AJ241" s="95">
        <f>SUM(AJ182:AJ240)</f>
        <v>308617098</v>
      </c>
      <c r="AK241" s="99"/>
      <c r="AL241" s="99"/>
      <c r="AM241" s="99">
        <f>SUM(AM182:AM240)</f>
        <v>22616754415</v>
      </c>
      <c r="AN241" s="95">
        <f>AM241*AN168/31</f>
        <v>12159788.575316291</v>
      </c>
    </row>
    <row r="242" spans="17:40">
      <c r="Q242" s="99" t="s">
        <v>4765</v>
      </c>
      <c r="R242" s="95">
        <v>9181756</v>
      </c>
      <c r="T242" s="215" t="s">
        <v>4924</v>
      </c>
      <c r="U242" s="215">
        <v>1087</v>
      </c>
      <c r="V242" s="113">
        <v>273.79649999999998</v>
      </c>
      <c r="W242" s="113">
        <f t="shared" si="45"/>
        <v>297616.79550000001</v>
      </c>
      <c r="X242" s="99" t="s">
        <v>452</v>
      </c>
      <c r="AJ242" t="s">
        <v>4059</v>
      </c>
      <c r="AM242" t="s">
        <v>284</v>
      </c>
      <c r="AN242" t="s">
        <v>943</v>
      </c>
    </row>
    <row r="243" spans="17:40">
      <c r="Q243" s="99" t="s">
        <v>4775</v>
      </c>
      <c r="R243" s="95">
        <v>11811208</v>
      </c>
      <c r="T243" s="215" t="s">
        <v>981</v>
      </c>
      <c r="U243" s="215">
        <v>-4017</v>
      </c>
      <c r="V243" s="113">
        <v>273.79649999999998</v>
      </c>
      <c r="W243" s="113">
        <f t="shared" si="45"/>
        <v>-1099840.5404999999</v>
      </c>
      <c r="X243" s="99" t="s">
        <v>4451</v>
      </c>
    </row>
    <row r="244" spans="17:40">
      <c r="Q244" s="99" t="s">
        <v>4793</v>
      </c>
      <c r="R244" s="95">
        <v>41248054</v>
      </c>
      <c r="T244" s="215" t="s">
        <v>981</v>
      </c>
      <c r="U244" s="215">
        <v>4017</v>
      </c>
      <c r="V244" s="113">
        <v>273.79649999999998</v>
      </c>
      <c r="W244" s="113">
        <f t="shared" si="45"/>
        <v>1099840.5404999999</v>
      </c>
      <c r="X244" s="99" t="s">
        <v>452</v>
      </c>
      <c r="Y244" t="s">
        <v>25</v>
      </c>
      <c r="AI244" t="s">
        <v>4061</v>
      </c>
      <c r="AJ244" s="114">
        <f>AJ241+AN241</f>
        <v>320776886.57531631</v>
      </c>
    </row>
    <row r="245" spans="17:40">
      <c r="Q245" s="99" t="s">
        <v>4803</v>
      </c>
      <c r="R245" s="95">
        <v>37328780</v>
      </c>
      <c r="S245" t="s">
        <v>25</v>
      </c>
      <c r="T245" s="215" t="s">
        <v>4938</v>
      </c>
      <c r="U245" s="215">
        <v>3137</v>
      </c>
      <c r="V245" s="113">
        <v>283.69110000000001</v>
      </c>
      <c r="W245" s="113">
        <f t="shared" si="45"/>
        <v>889938.98070000007</v>
      </c>
      <c r="X245" s="99" t="s">
        <v>452</v>
      </c>
      <c r="Y245" t="s">
        <v>25</v>
      </c>
      <c r="AI245" t="s">
        <v>4064</v>
      </c>
      <c r="AJ245" s="114">
        <f>SUM(N20:N33)</f>
        <v>368395602.89999998</v>
      </c>
    </row>
    <row r="246" spans="17:40">
      <c r="Q246" s="99" t="s">
        <v>4913</v>
      </c>
      <c r="R246" s="95">
        <v>-2194100</v>
      </c>
      <c r="S246" t="s">
        <v>25</v>
      </c>
      <c r="T246" s="215" t="s">
        <v>4954</v>
      </c>
      <c r="U246" s="215">
        <v>101933</v>
      </c>
      <c r="V246" s="113">
        <v>294.30973999999998</v>
      </c>
      <c r="W246" s="113">
        <f t="shared" si="45"/>
        <v>29999874.727419998</v>
      </c>
      <c r="X246" s="99" t="s">
        <v>1087</v>
      </c>
      <c r="AI246" t="s">
        <v>4136</v>
      </c>
      <c r="AJ246" s="114">
        <f>AJ245-AJ241</f>
        <v>59778504.899999976</v>
      </c>
    </row>
    <row r="247" spans="17:40">
      <c r="Q247" s="99" t="s">
        <v>4969</v>
      </c>
      <c r="R247" s="95">
        <v>20193916</v>
      </c>
      <c r="T247" s="215" t="s">
        <v>4967</v>
      </c>
      <c r="U247" s="215">
        <v>3407</v>
      </c>
      <c r="V247" s="113">
        <v>293.43799999999999</v>
      </c>
      <c r="W247" s="113">
        <f t="shared" si="45"/>
        <v>999743.26599999995</v>
      </c>
      <c r="X247" s="99" t="s">
        <v>452</v>
      </c>
      <c r="AI247" t="s">
        <v>943</v>
      </c>
      <c r="AJ247" s="114">
        <f>AN241</f>
        <v>12159788.575316291</v>
      </c>
    </row>
    <row r="248" spans="17:40">
      <c r="Q248" s="99"/>
      <c r="R248" s="95"/>
      <c r="T248" s="215" t="s">
        <v>4969</v>
      </c>
      <c r="U248" s="215">
        <v>68796</v>
      </c>
      <c r="V248" s="113">
        <v>293.53250000000003</v>
      </c>
      <c r="W248" s="113">
        <f t="shared" si="45"/>
        <v>20193861.870000001</v>
      </c>
      <c r="X248" s="99" t="s">
        <v>751</v>
      </c>
      <c r="AI248" t="s">
        <v>4065</v>
      </c>
      <c r="AJ248" s="114">
        <f>AJ246-AJ247</f>
        <v>47618716.324683681</v>
      </c>
      <c r="AN248" t="s">
        <v>25</v>
      </c>
    </row>
    <row r="249" spans="17:40">
      <c r="Q249" s="99"/>
      <c r="R249" s="95">
        <f>SUM(R226:R248)</f>
        <v>426236275</v>
      </c>
      <c r="T249" s="215" t="s">
        <v>4969</v>
      </c>
      <c r="U249" s="215">
        <v>154791</v>
      </c>
      <c r="V249" s="113">
        <v>293.53250000000003</v>
      </c>
      <c r="W249" s="113">
        <f t="shared" si="45"/>
        <v>45436189.207500003</v>
      </c>
      <c r="X249" s="99" t="s">
        <v>452</v>
      </c>
      <c r="AN249" t="s">
        <v>25</v>
      </c>
    </row>
    <row r="250" spans="17:40">
      <c r="Q250" s="99"/>
      <c r="R250" s="99" t="s">
        <v>6</v>
      </c>
      <c r="T250" s="215" t="s">
        <v>4969</v>
      </c>
      <c r="U250" s="215">
        <v>-11923</v>
      </c>
      <c r="V250" s="113">
        <v>293.53250000000003</v>
      </c>
      <c r="W250" s="113">
        <f t="shared" si="45"/>
        <v>-3499787.9975000005</v>
      </c>
      <c r="X250" s="99" t="s">
        <v>452</v>
      </c>
    </row>
    <row r="251" spans="17:40">
      <c r="T251" s="215" t="s">
        <v>4992</v>
      </c>
      <c r="U251" s="215">
        <v>8424</v>
      </c>
      <c r="V251" s="113">
        <v>299.15170000000001</v>
      </c>
      <c r="W251" s="113">
        <f t="shared" si="45"/>
        <v>2520053.9208</v>
      </c>
      <c r="X251" s="99" t="s">
        <v>452</v>
      </c>
    </row>
    <row r="252" spans="17:40">
      <c r="T252" s="215" t="s">
        <v>5032</v>
      </c>
      <c r="U252" s="215">
        <v>15943</v>
      </c>
      <c r="V252" s="113">
        <v>307.34415000000001</v>
      </c>
      <c r="W252" s="113">
        <f t="shared" si="45"/>
        <v>4899987.78345</v>
      </c>
      <c r="X252" s="99" t="s">
        <v>452</v>
      </c>
      <c r="AN252" t="s">
        <v>25</v>
      </c>
    </row>
    <row r="253" spans="17:40">
      <c r="Q253" s="99" t="s">
        <v>452</v>
      </c>
      <c r="R253" s="99"/>
      <c r="T253" s="215" t="s">
        <v>5055</v>
      </c>
      <c r="U253" s="215">
        <v>3579</v>
      </c>
      <c r="V253" s="113">
        <v>307.34415000000001</v>
      </c>
      <c r="W253" s="113">
        <f t="shared" si="45"/>
        <v>1099984.71285</v>
      </c>
      <c r="X253" s="99" t="s">
        <v>452</v>
      </c>
    </row>
    <row r="254" spans="17:40">
      <c r="Q254" s="99" t="s">
        <v>4444</v>
      </c>
      <c r="R254" s="95">
        <v>63115000</v>
      </c>
      <c r="T254" s="168"/>
      <c r="U254" s="168"/>
      <c r="V254" s="113"/>
      <c r="W254" s="113"/>
      <c r="X254" s="99"/>
    </row>
    <row r="255" spans="17:40">
      <c r="Q255" s="99" t="s">
        <v>4498</v>
      </c>
      <c r="R255" s="95">
        <v>13300000</v>
      </c>
      <c r="T255" s="168"/>
      <c r="U255" s="168">
        <f>SUM(U190:U254)</f>
        <v>3556732</v>
      </c>
      <c r="V255" s="99"/>
      <c r="W255" s="99"/>
      <c r="X255" s="99"/>
    </row>
    <row r="256" spans="17:40">
      <c r="Q256" s="99" t="s">
        <v>4506</v>
      </c>
      <c r="R256" s="95">
        <v>2269000</v>
      </c>
      <c r="T256" s="99"/>
      <c r="U256" s="99" t="s">
        <v>6</v>
      </c>
      <c r="V256" s="99"/>
      <c r="W256" s="99"/>
      <c r="X256" s="99"/>
    </row>
    <row r="257" spans="17:24">
      <c r="Q257" s="99" t="s">
        <v>4624</v>
      </c>
      <c r="R257" s="95">
        <v>25071612</v>
      </c>
      <c r="T257" s="201" t="s">
        <v>4488</v>
      </c>
    </row>
    <row r="258" spans="17:24">
      <c r="Q258" s="99" t="s">
        <v>4635</v>
      </c>
      <c r="R258" s="95">
        <v>42236984</v>
      </c>
      <c r="T258" s="200">
        <f>R200/U255</f>
        <v>309.68313072224731</v>
      </c>
    </row>
    <row r="259" spans="17:24">
      <c r="Q259" s="99" t="s">
        <v>4638</v>
      </c>
      <c r="R259" s="95">
        <v>19663646</v>
      </c>
      <c r="W259" s="114"/>
    </row>
    <row r="260" spans="17:24">
      <c r="Q260" s="99" t="s">
        <v>4665</v>
      </c>
      <c r="R260" s="95">
        <v>4374525</v>
      </c>
      <c r="U260" s="96" t="s">
        <v>267</v>
      </c>
      <c r="V260" t="s">
        <v>4489</v>
      </c>
      <c r="X260" t="s">
        <v>25</v>
      </c>
    </row>
    <row r="261" spans="17:24">
      <c r="Q261" s="99" t="s">
        <v>4681</v>
      </c>
      <c r="R261" s="95">
        <v>6550580</v>
      </c>
      <c r="T261" s="114"/>
      <c r="U261" s="113">
        <v>1100000</v>
      </c>
      <c r="V261">
        <f>U261/T258</f>
        <v>3552.0178236204365</v>
      </c>
      <c r="X261" t="s">
        <v>25</v>
      </c>
    </row>
    <row r="262" spans="17:24">
      <c r="Q262" s="99" t="s">
        <v>4685</v>
      </c>
      <c r="R262" s="95">
        <v>7054895</v>
      </c>
      <c r="X262" t="s">
        <v>25</v>
      </c>
    </row>
    <row r="263" spans="17:24">
      <c r="Q263" s="99" t="s">
        <v>4722</v>
      </c>
      <c r="R263" s="95">
        <v>2145814</v>
      </c>
      <c r="W263" s="225"/>
      <c r="X263" s="96" t="s">
        <v>25</v>
      </c>
    </row>
    <row r="264" spans="17:24">
      <c r="Q264" s="99" t="s">
        <v>4737</v>
      </c>
      <c r="R264" s="95">
        <v>4369730</v>
      </c>
    </row>
    <row r="265" spans="17:24">
      <c r="Q265" s="99" t="s">
        <v>4741</v>
      </c>
      <c r="R265" s="95">
        <v>8739459</v>
      </c>
    </row>
    <row r="266" spans="17:24" ht="60">
      <c r="Q266" s="99" t="s">
        <v>4752</v>
      </c>
      <c r="R266" s="95">
        <v>6667654</v>
      </c>
      <c r="T266" s="22" t="s">
        <v>4472</v>
      </c>
      <c r="V266" s="225"/>
    </row>
    <row r="267" spans="17:24" ht="45">
      <c r="Q267" s="99" t="s">
        <v>3684</v>
      </c>
      <c r="R267" s="95">
        <v>8981245</v>
      </c>
      <c r="T267" s="22" t="s">
        <v>4473</v>
      </c>
    </row>
    <row r="268" spans="17:24">
      <c r="Q268" s="99" t="s">
        <v>4765</v>
      </c>
      <c r="R268" s="95">
        <v>9181756</v>
      </c>
    </row>
    <row r="269" spans="17:24">
      <c r="Q269" s="99" t="s">
        <v>4775</v>
      </c>
      <c r="R269" s="95">
        <v>11811208</v>
      </c>
    </row>
    <row r="270" spans="17:24">
      <c r="Q270" s="99" t="s">
        <v>4793</v>
      </c>
      <c r="R270" s="95">
        <v>41248054</v>
      </c>
      <c r="T270" s="99" t="s">
        <v>4490</v>
      </c>
      <c r="U270" s="99" t="s">
        <v>4461</v>
      </c>
      <c r="V270" s="99" t="s">
        <v>953</v>
      </c>
    </row>
    <row r="271" spans="17:24">
      <c r="Q271" s="99" t="s">
        <v>4803</v>
      </c>
      <c r="R271" s="95">
        <v>37328780</v>
      </c>
      <c r="T271" s="95">
        <f>R219+R249+R287</f>
        <v>889099220</v>
      </c>
      <c r="U271" s="95">
        <f>R200</f>
        <v>1101459900.9000001</v>
      </c>
      <c r="V271" s="95">
        <f>U271-T271</f>
        <v>212360680.9000001</v>
      </c>
    </row>
    <row r="272" spans="17:24">
      <c r="Q272" s="99" t="s">
        <v>4812</v>
      </c>
      <c r="R272" s="95">
        <v>50000000</v>
      </c>
    </row>
    <row r="273" spans="17:20">
      <c r="Q273" s="99" t="s">
        <v>4890</v>
      </c>
      <c r="R273" s="95">
        <v>68656</v>
      </c>
    </row>
    <row r="274" spans="17:20">
      <c r="Q274" s="99" t="s">
        <v>4905</v>
      </c>
      <c r="R274" s="95">
        <v>4000236</v>
      </c>
    </row>
    <row r="275" spans="17:20">
      <c r="Q275" s="99" t="s">
        <v>4905</v>
      </c>
      <c r="R275" s="95">
        <v>2250000</v>
      </c>
    </row>
    <row r="276" spans="17:20">
      <c r="Q276" s="99" t="s">
        <v>4913</v>
      </c>
      <c r="R276" s="95">
        <v>-2512200</v>
      </c>
      <c r="T276" t="s">
        <v>25</v>
      </c>
    </row>
    <row r="277" spans="17:20">
      <c r="Q277" s="99" t="s">
        <v>4924</v>
      </c>
      <c r="R277" s="95">
        <v>300000</v>
      </c>
      <c r="T277" t="s">
        <v>25</v>
      </c>
    </row>
    <row r="278" spans="17:20">
      <c r="Q278" s="99" t="s">
        <v>981</v>
      </c>
      <c r="R278" s="95">
        <v>1100000</v>
      </c>
    </row>
    <row r="279" spans="17:20">
      <c r="Q279" s="99" t="s">
        <v>4938</v>
      </c>
      <c r="R279" s="95">
        <v>890000</v>
      </c>
      <c r="T279" t="s">
        <v>25</v>
      </c>
    </row>
    <row r="280" spans="17:20">
      <c r="Q280" s="99" t="s">
        <v>4967</v>
      </c>
      <c r="R280" s="95">
        <v>1000000</v>
      </c>
      <c r="T280" t="s">
        <v>25</v>
      </c>
    </row>
    <row r="281" spans="17:20">
      <c r="Q281" s="99" t="s">
        <v>4969</v>
      </c>
      <c r="R281" s="95">
        <v>45436311</v>
      </c>
    </row>
    <row r="282" spans="17:20">
      <c r="Q282" s="99" t="s">
        <v>4969</v>
      </c>
      <c r="R282" s="95">
        <v>-3500000</v>
      </c>
    </row>
    <row r="283" spans="17:20">
      <c r="Q283" s="99" t="s">
        <v>4992</v>
      </c>
      <c r="R283" s="95">
        <v>2520000</v>
      </c>
      <c r="T283" t="s">
        <v>25</v>
      </c>
    </row>
    <row r="284" spans="17:20">
      <c r="Q284" s="99" t="s">
        <v>5032</v>
      </c>
      <c r="R284" s="95">
        <v>4900000</v>
      </c>
      <c r="T284" t="s">
        <v>25</v>
      </c>
    </row>
    <row r="285" spans="17:20">
      <c r="Q285" s="99" t="s">
        <v>5055</v>
      </c>
      <c r="R285" s="95">
        <v>1100000</v>
      </c>
    </row>
    <row r="286" spans="17:20">
      <c r="Q286" s="99"/>
      <c r="R286" s="95"/>
      <c r="T286" t="s">
        <v>25</v>
      </c>
    </row>
    <row r="287" spans="17:20">
      <c r="Q287" s="99"/>
      <c r="R287" s="95">
        <f>SUM(R254:R286)</f>
        <v>421662945</v>
      </c>
      <c r="T287" t="s">
        <v>25</v>
      </c>
    </row>
    <row r="288" spans="17:20">
      <c r="Q288" s="99"/>
      <c r="R288" s="99" t="s">
        <v>6</v>
      </c>
    </row>
    <row r="291" spans="20:20">
      <c r="T291" t="s">
        <v>25</v>
      </c>
    </row>
    <row r="292" spans="20:20">
      <c r="T292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 G139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5" zoomScale="90" zoomScaleNormal="90" workbookViewId="0">
      <selection activeCell="L110" sqref="L110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4967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4967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4967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4898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4913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4969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4983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5008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4912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4898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4911</v>
      </c>
      <c r="J82" s="86">
        <f t="shared" si="12"/>
        <v>8860702</v>
      </c>
      <c r="K82" s="192" t="s">
        <v>4905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4922</v>
      </c>
      <c r="J83" s="86">
        <f>L83-L82+31412200</f>
        <v>20439704</v>
      </c>
      <c r="K83" s="192" t="s">
        <v>4913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4923</v>
      </c>
      <c r="J84" s="189">
        <f t="shared" si="12"/>
        <v>21224293</v>
      </c>
      <c r="K84" s="190" t="s">
        <v>4924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4951</v>
      </c>
      <c r="J87" s="197">
        <f>L87-L86-20000</f>
        <v>7878257</v>
      </c>
      <c r="K87" s="191" t="s">
        <v>4938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4997</v>
      </c>
      <c r="J90" s="197">
        <f>L90-L89-1000000</f>
        <v>3840350</v>
      </c>
      <c r="K90" s="191" t="s">
        <v>4967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4969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4983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4988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4989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4996</v>
      </c>
      <c r="J95" s="197">
        <f>L95-L94-2520000</f>
        <v>-274657</v>
      </c>
      <c r="K95" s="191" t="s">
        <v>4992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4998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5002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5005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5006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5008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5009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5012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5011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191" t="s">
        <v>5059</v>
      </c>
      <c r="J104" s="197">
        <f>L104-L103-1400000</f>
        <v>-1688384</v>
      </c>
      <c r="K104" s="191" t="s">
        <v>5055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17">
      <c r="I105" s="215"/>
      <c r="J105" s="113">
        <f t="shared" si="17"/>
        <v>8529471</v>
      </c>
      <c r="K105" s="215" t="s">
        <v>5057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17">
      <c r="I106" s="215"/>
      <c r="J106" s="113">
        <f t="shared" si="17"/>
        <v>-724529471</v>
      </c>
      <c r="K106" s="215"/>
      <c r="L106" s="84"/>
      <c r="M106" s="84"/>
      <c r="N106" s="113">
        <f t="shared" si="22"/>
        <v>0</v>
      </c>
      <c r="O106" s="113">
        <f t="shared" si="23"/>
        <v>-326836192</v>
      </c>
      <c r="P106" s="113">
        <f t="shared" si="24"/>
        <v>-1051365663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4913</v>
      </c>
      <c r="B45" s="113">
        <v>2060725</v>
      </c>
      <c r="C45" s="99" t="s">
        <v>4918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4949</v>
      </c>
      <c r="B46" s="113">
        <v>-1073169</v>
      </c>
      <c r="C46" s="99" t="s">
        <v>4950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4938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4938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4954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4969</v>
      </c>
      <c r="B52" s="113">
        <v>-195330</v>
      </c>
      <c r="C52" s="99" t="s">
        <v>4976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4983</v>
      </c>
      <c r="B53" s="113">
        <v>-140730</v>
      </c>
      <c r="C53" s="99" t="s">
        <v>4990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4898</v>
      </c>
      <c r="B20" s="18">
        <v>400000</v>
      </c>
      <c r="C20" s="18">
        <v>0</v>
      </c>
      <c r="D20" s="113">
        <f t="shared" si="0"/>
        <v>400000</v>
      </c>
      <c r="E20" s="19" t="s">
        <v>4900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4913</v>
      </c>
      <c r="B28" s="18">
        <v>433375</v>
      </c>
      <c r="C28" s="18">
        <v>0</v>
      </c>
      <c r="D28" s="113">
        <f t="shared" si="0"/>
        <v>433375</v>
      </c>
      <c r="E28" s="19" t="s">
        <v>4918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4924</v>
      </c>
      <c r="B30" s="18">
        <v>-300000</v>
      </c>
      <c r="C30" s="18">
        <v>0</v>
      </c>
      <c r="D30" s="113">
        <f t="shared" si="0"/>
        <v>-300000</v>
      </c>
      <c r="E30" s="19" t="s">
        <v>4927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4901</v>
      </c>
      <c r="G70" t="s">
        <v>25</v>
      </c>
    </row>
    <row r="71" spans="1:22">
      <c r="D71" s="18">
        <v>463200</v>
      </c>
      <c r="E71" s="122" t="s">
        <v>4903</v>
      </c>
    </row>
    <row r="72" spans="1:22">
      <c r="D72" s="18">
        <v>2000000</v>
      </c>
      <c r="E72" s="96" t="s">
        <v>4906</v>
      </c>
    </row>
    <row r="73" spans="1:22">
      <c r="D73" s="18">
        <v>-280000</v>
      </c>
      <c r="E73" t="s">
        <v>4910</v>
      </c>
    </row>
    <row r="74" spans="1:22">
      <c r="D74" s="18">
        <v>-200000</v>
      </c>
      <c r="E74" s="96" t="s">
        <v>4919</v>
      </c>
    </row>
    <row r="75" spans="1:22">
      <c r="D75" s="18">
        <v>-2000000</v>
      </c>
      <c r="E75" s="96" t="s">
        <v>4925</v>
      </c>
    </row>
    <row r="76" spans="1:22">
      <c r="D76" s="18">
        <v>92800</v>
      </c>
      <c r="E76" s="96" t="s">
        <v>4931</v>
      </c>
    </row>
    <row r="77" spans="1:22">
      <c r="D77" s="18">
        <v>1417727</v>
      </c>
      <c r="E77" s="96" t="s">
        <v>4935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0" t="s">
        <v>1089</v>
      </c>
      <c r="R21" s="250"/>
      <c r="S21" s="250"/>
      <c r="T21" s="250"/>
      <c r="U21" s="96"/>
      <c r="V21" s="96"/>
      <c r="W21" s="96"/>
      <c r="X21" s="96"/>
      <c r="Y21" s="96"/>
      <c r="Z21" s="96"/>
    </row>
    <row r="22" spans="5:35">
      <c r="O22" s="99"/>
      <c r="P22" s="99"/>
      <c r="Q22" s="250"/>
      <c r="R22" s="250"/>
      <c r="S22" s="250"/>
      <c r="T22" s="25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1" t="s">
        <v>1090</v>
      </c>
      <c r="R23" s="252" t="s">
        <v>1091</v>
      </c>
      <c r="S23" s="251" t="s">
        <v>1092</v>
      </c>
      <c r="T23" s="253" t="s">
        <v>1093</v>
      </c>
      <c r="AD23" t="s">
        <v>25</v>
      </c>
    </row>
    <row r="24" spans="5:35">
      <c r="O24" s="99"/>
      <c r="P24" s="99"/>
      <c r="Q24" s="251"/>
      <c r="R24" s="252"/>
      <c r="S24" s="251"/>
      <c r="T24" s="25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4898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4898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4924</v>
      </c>
      <c r="B25" s="95">
        <v>0</v>
      </c>
      <c r="C25" s="95">
        <v>1000</v>
      </c>
      <c r="D25" s="99" t="s">
        <v>315</v>
      </c>
    </row>
    <row r="26" spans="1:9">
      <c r="A26" s="99" t="s">
        <v>4967</v>
      </c>
      <c r="B26" s="95">
        <v>0</v>
      </c>
      <c r="C26" s="95">
        <v>12000</v>
      </c>
      <c r="D26" s="99" t="s">
        <v>4982</v>
      </c>
    </row>
    <row r="27" spans="1:9">
      <c r="A27" s="99" t="s">
        <v>4969</v>
      </c>
      <c r="B27" s="95">
        <v>0</v>
      </c>
      <c r="C27" s="95">
        <v>1000</v>
      </c>
      <c r="D27" s="99" t="s">
        <v>315</v>
      </c>
    </row>
    <row r="28" spans="1:9">
      <c r="A28" s="99" t="s">
        <v>4983</v>
      </c>
      <c r="B28" s="95">
        <v>0</v>
      </c>
      <c r="C28" s="95">
        <v>1000</v>
      </c>
      <c r="D28" s="99" t="s">
        <v>315</v>
      </c>
    </row>
    <row r="29" spans="1:9">
      <c r="A29" s="99" t="s">
        <v>4988</v>
      </c>
      <c r="B29" s="95">
        <v>0</v>
      </c>
      <c r="C29" s="95">
        <v>1000</v>
      </c>
      <c r="D29" s="99" t="s">
        <v>315</v>
      </c>
    </row>
    <row r="30" spans="1:9">
      <c r="A30" s="99" t="s">
        <v>4989</v>
      </c>
      <c r="B30" s="95">
        <v>0</v>
      </c>
      <c r="C30" s="95">
        <v>5500</v>
      </c>
      <c r="D30" s="99" t="s">
        <v>4763</v>
      </c>
    </row>
    <row r="31" spans="1:9">
      <c r="A31" s="99" t="s">
        <v>4989</v>
      </c>
      <c r="B31" s="95">
        <v>11000</v>
      </c>
      <c r="C31" s="95">
        <v>0</v>
      </c>
      <c r="D31" s="99" t="s">
        <v>4762</v>
      </c>
    </row>
    <row r="32" spans="1:9">
      <c r="A32" s="99" t="s">
        <v>4998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5002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5005</v>
      </c>
      <c r="B34" s="95">
        <v>0</v>
      </c>
      <c r="C34" s="95">
        <v>1000</v>
      </c>
      <c r="D34" s="99" t="s">
        <v>315</v>
      </c>
    </row>
    <row r="35" spans="1:10">
      <c r="A35" s="99" t="s">
        <v>5006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5011</v>
      </c>
      <c r="B36" s="95">
        <v>1000</v>
      </c>
      <c r="C36" s="95">
        <v>0</v>
      </c>
      <c r="D36" s="99" t="s">
        <v>315</v>
      </c>
    </row>
    <row r="37" spans="1:10">
      <c r="A37" s="99" t="s">
        <v>5011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2019-04-28T10:36:19Z</dcterms:modified>
</cp:coreProperties>
</file>