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AgentBased" sheetId="44" r:id="rId1"/>
    <sheet name="آذر 97" sheetId="51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آبان97" sheetId="50" r:id="rId41"/>
    <sheet name="لیست خرید و فروش" sheetId="32" r:id="rId42"/>
    <sheet name="اوراق بدون ریسک" sheetId="33" r:id="rId43"/>
    <sheet name="نکات" sheetId="35" r:id="rId44"/>
    <sheet name="سکه" sheetId="36" r:id="rId45"/>
    <sheet name="apply" sheetId="37" r:id="rId46"/>
    <sheet name="بیمه" sheetId="39" r:id="rId47"/>
    <sheet name="آرشیو قیمت ارجینال" sheetId="40" r:id="rId48"/>
    <sheet name="تحلیل1" sheetId="41" r:id="rId49"/>
  </sheets>
  <calcPr calcId="145621"/>
</workbook>
</file>

<file path=xl/calcChain.xml><?xml version="1.0" encoding="utf-8"?>
<calcChain xmlns="http://schemas.openxmlformats.org/spreadsheetml/2006/main">
  <c r="B270" i="20" l="1"/>
  <c r="C270" i="20"/>
  <c r="G27" i="51"/>
  <c r="H27" i="51"/>
  <c r="I27" i="51"/>
  <c r="D27" i="51"/>
  <c r="G26" i="51"/>
  <c r="H26" i="51"/>
  <c r="I26" i="51"/>
  <c r="D26" i="51"/>
  <c r="AM98" i="18" l="1"/>
  <c r="AM99" i="18"/>
  <c r="AJ102" i="18"/>
  <c r="M114" i="18" l="1"/>
  <c r="Y99" i="18"/>
  <c r="W118" i="18"/>
  <c r="U120" i="18"/>
  <c r="P29" i="18"/>
  <c r="N29" i="18" s="1"/>
  <c r="P25" i="18"/>
  <c r="N25" i="18" s="1"/>
  <c r="N50" i="18" l="1"/>
  <c r="AS38" i="18"/>
  <c r="N51" i="18" l="1"/>
  <c r="L35" i="18" l="1"/>
  <c r="W112" i="18" l="1"/>
  <c r="W113" i="18"/>
  <c r="W114" i="18"/>
  <c r="W115" i="18"/>
  <c r="W116" i="18"/>
  <c r="W117" i="18"/>
  <c r="W119" i="18"/>
  <c r="W111" i="18"/>
  <c r="N52" i="18" l="1"/>
  <c r="R151" i="18" l="1"/>
  <c r="R160" i="18"/>
  <c r="R142" i="18"/>
  <c r="R134" i="18"/>
  <c r="T136" i="18" l="1"/>
  <c r="T94" i="18"/>
  <c r="S38" i="18"/>
  <c r="S39" i="18" s="1"/>
  <c r="R116" i="18"/>
  <c r="R115" i="18"/>
  <c r="R114" i="18"/>
  <c r="AJ146" i="18"/>
  <c r="D52" i="51"/>
  <c r="L22" i="18" s="1"/>
  <c r="S40" i="18" l="1"/>
  <c r="S41" i="18" s="1"/>
  <c r="S42" i="18" s="1"/>
  <c r="S43" i="18" s="1"/>
  <c r="P30" i="18" l="1"/>
  <c r="N30" i="18" s="1"/>
  <c r="P23" i="18"/>
  <c r="N23" i="18" s="1"/>
  <c r="N46" i="18"/>
  <c r="M76" i="18" l="1"/>
  <c r="P28" i="18" l="1"/>
  <c r="N28" i="18" s="1"/>
  <c r="Q45" i="18" s="1"/>
  <c r="R113" i="18" l="1"/>
  <c r="C2" i="51"/>
  <c r="H2" i="51" s="1"/>
  <c r="B2" i="51"/>
  <c r="B30" i="51" s="1"/>
  <c r="G33" i="48"/>
  <c r="H29" i="51"/>
  <c r="G29" i="51"/>
  <c r="D29" i="51"/>
  <c r="I29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1" i="51" l="1"/>
  <c r="C30" i="51"/>
  <c r="H31" i="51"/>
  <c r="D2" i="51"/>
  <c r="R10" i="49"/>
  <c r="S10" i="49"/>
  <c r="R9" i="49"/>
  <c r="H36" i="51" l="1"/>
  <c r="D30" i="51"/>
  <c r="I2" i="51"/>
  <c r="I31" i="51" s="1"/>
  <c r="I36" i="51" s="1"/>
  <c r="S20" i="18"/>
  <c r="S21" i="18" s="1"/>
  <c r="N49" i="18" l="1"/>
  <c r="D108" i="50" l="1"/>
  <c r="P24" i="18" l="1"/>
  <c r="N48" i="18"/>
  <c r="C8" i="36" l="1"/>
  <c r="N43" i="18" l="1"/>
  <c r="N22" i="33" l="1"/>
  <c r="R22" i="33" s="1"/>
  <c r="E22" i="33"/>
  <c r="AL101" i="18"/>
  <c r="AL100" i="18" s="1"/>
  <c r="AL97" i="18" l="1"/>
  <c r="AM100" i="18"/>
  <c r="C22" i="33"/>
  <c r="J22" i="33"/>
  <c r="F22" i="33"/>
  <c r="AM101" i="18"/>
  <c r="B22" i="33"/>
  <c r="I22" i="33"/>
  <c r="L22" i="33"/>
  <c r="H22" i="33"/>
  <c r="D22" i="33"/>
  <c r="K22" i="33"/>
  <c r="G22" i="33"/>
  <c r="AL96" i="18" l="1"/>
  <c r="AM97" i="18"/>
  <c r="AL144" i="18"/>
  <c r="AL95" i="18" l="1"/>
  <c r="AM96" i="18"/>
  <c r="AM144" i="18"/>
  <c r="AL141" i="18"/>
  <c r="S22" i="18"/>
  <c r="S23" i="18" s="1"/>
  <c r="S24" i="18" s="1"/>
  <c r="S25" i="18" s="1"/>
  <c r="P22" i="18"/>
  <c r="N22" i="18" s="1"/>
  <c r="N47" i="18"/>
  <c r="AL94" i="18" l="1"/>
  <c r="AM95" i="18"/>
  <c r="AL140" i="18"/>
  <c r="AM141" i="18"/>
  <c r="AL93" i="18" l="1"/>
  <c r="AM94" i="18"/>
  <c r="AL139" i="18"/>
  <c r="AM140" i="18"/>
  <c r="AL92" i="18" l="1"/>
  <c r="AM93" i="18"/>
  <c r="S26" i="18"/>
  <c r="S27" i="18" s="1"/>
  <c r="S28" i="18" s="1"/>
  <c r="S29" i="18" s="1"/>
  <c r="S30" i="18" s="1"/>
  <c r="S31" i="18" s="1"/>
  <c r="AL138" i="18"/>
  <c r="AM139" i="18"/>
  <c r="N76" i="18"/>
  <c r="AL91" i="18" l="1"/>
  <c r="AM92" i="18"/>
  <c r="AL137" i="18"/>
  <c r="AM138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L90" i="18" l="1"/>
  <c r="AM91" i="18"/>
  <c r="AL136" i="18"/>
  <c r="AM137" i="18"/>
  <c r="D73" i="48"/>
  <c r="N24" i="18"/>
  <c r="AM90" i="18" l="1"/>
  <c r="AL89" i="18"/>
  <c r="AL135" i="18"/>
  <c r="AM136" i="18"/>
  <c r="N37" i="18"/>
  <c r="AL88" i="18" l="1"/>
  <c r="AM89" i="18"/>
  <c r="AL134" i="18"/>
  <c r="AM135" i="18"/>
  <c r="P56" i="18"/>
  <c r="AL87" i="18" l="1"/>
  <c r="AM88" i="18"/>
  <c r="AL133" i="18"/>
  <c r="AM134" i="18"/>
  <c r="AM87" i="18" l="1"/>
  <c r="AL86" i="18"/>
  <c r="AL132" i="18"/>
  <c r="AM133" i="18"/>
  <c r="N23" i="33"/>
  <c r="D23" i="33" s="1"/>
  <c r="AL85" i="18" l="1"/>
  <c r="AM86" i="18"/>
  <c r="AL131" i="18"/>
  <c r="AM132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84" i="18" l="1"/>
  <c r="AM85" i="18"/>
  <c r="AL130" i="18"/>
  <c r="AM131" i="18"/>
  <c r="P21" i="18"/>
  <c r="N21" i="18" s="1"/>
  <c r="Q33" i="18" s="1"/>
  <c r="B263" i="15"/>
  <c r="AM84" i="18" l="1"/>
  <c r="AL83" i="18"/>
  <c r="R112" i="18"/>
  <c r="AJ150" i="18"/>
  <c r="AJ151" i="18" s="1"/>
  <c r="AM130" i="18"/>
  <c r="AL129" i="18"/>
  <c r="S54" i="18"/>
  <c r="S55" i="18" s="1"/>
  <c r="AM83" i="18" l="1"/>
  <c r="AL82" i="18"/>
  <c r="AL128" i="18"/>
  <c r="AM129" i="18"/>
  <c r="S56" i="18"/>
  <c r="S57" i="18" s="1"/>
  <c r="AL81" i="18" l="1"/>
  <c r="AM82" i="18"/>
  <c r="AM128" i="18"/>
  <c r="AL127" i="18"/>
  <c r="P45" i="18"/>
  <c r="AL80" i="18" l="1"/>
  <c r="AM80" i="18" s="1"/>
  <c r="AM81" i="18"/>
  <c r="AM127" i="18"/>
  <c r="AL126" i="18"/>
  <c r="AL125" i="18" l="1"/>
  <c r="AM126" i="18"/>
  <c r="AL124" i="18" l="1"/>
  <c r="AM125" i="18"/>
  <c r="B8" i="36"/>
  <c r="AL123" i="18" l="1"/>
  <c r="AM124" i="18"/>
  <c r="B10" i="36"/>
  <c r="AL122" i="18" l="1"/>
  <c r="AM123" i="18"/>
  <c r="S58" i="18"/>
  <c r="S59" i="18" s="1"/>
  <c r="S60" i="18" s="1"/>
  <c r="S61" i="18" s="1"/>
  <c r="S62" i="18" s="1"/>
  <c r="S63" i="18" s="1"/>
  <c r="S64" i="18" s="1"/>
  <c r="S65" i="18" s="1"/>
  <c r="S66" i="18" s="1"/>
  <c r="S67" i="18" s="1"/>
  <c r="AL121" i="18" l="1"/>
  <c r="AM122" i="18"/>
  <c r="N25" i="33"/>
  <c r="N24" i="33"/>
  <c r="N21" i="33"/>
  <c r="N20" i="33"/>
  <c r="N19" i="33"/>
  <c r="N18" i="33"/>
  <c r="L18" i="33" s="1"/>
  <c r="N17" i="33"/>
  <c r="N9" i="33"/>
  <c r="N3" i="33"/>
  <c r="N4" i="33"/>
  <c r="S68" i="18" l="1"/>
  <c r="AL120" i="18"/>
  <c r="AM121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S69" i="18" l="1"/>
  <c r="S70" i="18" s="1"/>
  <c r="S71" i="18" s="1"/>
  <c r="S72" i="18" s="1"/>
  <c r="S73" i="18" s="1"/>
  <c r="S74" i="18" s="1"/>
  <c r="AL119" i="18"/>
  <c r="AM119" i="18" s="1"/>
  <c r="AM120" i="18"/>
  <c r="AC15" i="33"/>
  <c r="S75" i="18" l="1"/>
  <c r="S76" i="18" s="1"/>
  <c r="S77" i="18" s="1"/>
  <c r="S78" i="18" s="1"/>
  <c r="S79" i="18" s="1"/>
  <c r="S80" i="18" s="1"/>
  <c r="S81" i="18" s="1"/>
  <c r="S82" i="18" s="1"/>
  <c r="S83" i="18" s="1"/>
  <c r="AM146" i="18"/>
  <c r="N16" i="33"/>
  <c r="AN146" i="18" l="1"/>
  <c r="AJ149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J152" i="18" l="1"/>
  <c r="AJ153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69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69" i="20"/>
  <c r="N45" i="18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9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69" i="20" l="1"/>
  <c r="J269" i="20"/>
  <c r="G268" i="20"/>
  <c r="K269" i="20"/>
  <c r="G267" i="20" l="1"/>
  <c r="I268" i="20"/>
  <c r="J268" i="20"/>
  <c r="K268" i="20"/>
  <c r="AL79" i="18"/>
  <c r="G25" i="46"/>
  <c r="H25" i="46"/>
  <c r="D25" i="46"/>
  <c r="I25" i="46" s="1"/>
  <c r="G263" i="20" l="1"/>
  <c r="J267" i="20"/>
  <c r="I267" i="20"/>
  <c r="K267" i="20"/>
  <c r="AL78" i="18"/>
  <c r="AM79" i="18"/>
  <c r="D88" i="46"/>
  <c r="G24" i="46"/>
  <c r="H24" i="46"/>
  <c r="D24" i="46"/>
  <c r="I24" i="46" s="1"/>
  <c r="G23" i="46"/>
  <c r="H23" i="46"/>
  <c r="D23" i="46"/>
  <c r="I23" i="46" s="1"/>
  <c r="G262" i="20" l="1"/>
  <c r="J263" i="20"/>
  <c r="K263" i="20"/>
  <c r="I263" i="20"/>
  <c r="AL77" i="18"/>
  <c r="AM78" i="18"/>
  <c r="N56" i="18"/>
  <c r="G261" i="20" l="1"/>
  <c r="J262" i="20"/>
  <c r="I262" i="20"/>
  <c r="K262" i="20"/>
  <c r="AL76" i="18"/>
  <c r="AM77" i="18"/>
  <c r="G260" i="20" l="1"/>
  <c r="K261" i="20"/>
  <c r="J261" i="20"/>
  <c r="I261" i="20"/>
  <c r="AL75" i="18"/>
  <c r="AM76" i="18"/>
  <c r="N44" i="18"/>
  <c r="Q86" i="18" s="1"/>
  <c r="G259" i="20" l="1"/>
  <c r="K260" i="20"/>
  <c r="J260" i="20"/>
  <c r="I260" i="20"/>
  <c r="R111" i="18"/>
  <c r="R120" i="18" s="1"/>
  <c r="T123" i="18" s="1"/>
  <c r="AJ108" i="18"/>
  <c r="AJ109" i="18" s="1"/>
  <c r="AL74" i="18"/>
  <c r="AM75" i="18"/>
  <c r="G258" i="20" l="1"/>
  <c r="J259" i="20"/>
  <c r="K259" i="20"/>
  <c r="I259" i="20"/>
  <c r="U136" i="18"/>
  <c r="AL73" i="18"/>
  <c r="AM74" i="18"/>
  <c r="N82" i="18"/>
  <c r="V83" i="18" s="1"/>
  <c r="G257" i="20" l="1"/>
  <c r="I258" i="20"/>
  <c r="K258" i="20"/>
  <c r="J258" i="20"/>
  <c r="W83" i="18"/>
  <c r="X83" i="18"/>
  <c r="V31" i="18"/>
  <c r="X31" i="18" s="1"/>
  <c r="V43" i="18"/>
  <c r="V81" i="18"/>
  <c r="V82" i="18"/>
  <c r="V44" i="18"/>
  <c r="V41" i="18"/>
  <c r="V42" i="18"/>
  <c r="V30" i="18"/>
  <c r="W30" i="18" s="1"/>
  <c r="V80" i="18"/>
  <c r="V78" i="18"/>
  <c r="W78" i="18" s="1"/>
  <c r="V79" i="18"/>
  <c r="S99" i="18"/>
  <c r="V76" i="18"/>
  <c r="W76" i="18" s="1"/>
  <c r="V77" i="18"/>
  <c r="V73" i="18"/>
  <c r="W73" i="18" s="1"/>
  <c r="V75" i="18"/>
  <c r="V74" i="18"/>
  <c r="V136" i="18"/>
  <c r="V72" i="18"/>
  <c r="V71" i="18"/>
  <c r="V40" i="18"/>
  <c r="V39" i="18"/>
  <c r="V68" i="18"/>
  <c r="V70" i="18"/>
  <c r="V69" i="18"/>
  <c r="V29" i="18"/>
  <c r="V28" i="18"/>
  <c r="V67" i="18"/>
  <c r="V27" i="18"/>
  <c r="V25" i="18"/>
  <c r="V26" i="18"/>
  <c r="V66" i="18"/>
  <c r="V65" i="18"/>
  <c r="V64" i="18"/>
  <c r="V63" i="18"/>
  <c r="V24" i="18"/>
  <c r="V62" i="18"/>
  <c r="V60" i="18"/>
  <c r="V61" i="18"/>
  <c r="V58" i="18"/>
  <c r="V59" i="18"/>
  <c r="V57" i="18"/>
  <c r="V21" i="18"/>
  <c r="V23" i="18"/>
  <c r="V53" i="18"/>
  <c r="V20" i="18"/>
  <c r="V22" i="18"/>
  <c r="V54" i="18"/>
  <c r="V55" i="18"/>
  <c r="V56" i="18"/>
  <c r="AL72" i="18"/>
  <c r="AM73" i="18"/>
  <c r="G256" i="20" l="1"/>
  <c r="J257" i="20"/>
  <c r="K257" i="20"/>
  <c r="I257" i="20"/>
  <c r="W31" i="18"/>
  <c r="W43" i="18"/>
  <c r="X43" i="18"/>
  <c r="W82" i="18"/>
  <c r="X82" i="18"/>
  <c r="W81" i="18"/>
  <c r="X81" i="18"/>
  <c r="X41" i="18"/>
  <c r="W41" i="18"/>
  <c r="W42" i="18"/>
  <c r="X42" i="18"/>
  <c r="W44" i="18"/>
  <c r="X44" i="18"/>
  <c r="W80" i="18"/>
  <c r="X80" i="18"/>
  <c r="X30" i="18"/>
  <c r="X78" i="18"/>
  <c r="W79" i="18"/>
  <c r="X79" i="18"/>
  <c r="X76" i="18"/>
  <c r="X77" i="18"/>
  <c r="W77" i="18"/>
  <c r="X73" i="18"/>
  <c r="W74" i="18"/>
  <c r="X74" i="18"/>
  <c r="W75" i="18"/>
  <c r="X75" i="18"/>
  <c r="V126" i="18"/>
  <c r="S98" i="18"/>
  <c r="U98" i="18" s="1"/>
  <c r="V98" i="18" s="1"/>
  <c r="S97" i="18"/>
  <c r="N33" i="18" s="1"/>
  <c r="L21" i="18" s="1"/>
  <c r="N59" i="18"/>
  <c r="S96" i="18"/>
  <c r="W71" i="18"/>
  <c r="X71" i="18"/>
  <c r="X72" i="18"/>
  <c r="W72" i="18"/>
  <c r="X39" i="18"/>
  <c r="W39" i="18"/>
  <c r="W40" i="18"/>
  <c r="X40" i="18"/>
  <c r="W22" i="18"/>
  <c r="X22" i="18"/>
  <c r="W21" i="18"/>
  <c r="X21" i="18"/>
  <c r="W61" i="18"/>
  <c r="X61" i="18"/>
  <c r="W63" i="18"/>
  <c r="X63" i="18"/>
  <c r="W67" i="18"/>
  <c r="X67" i="18"/>
  <c r="W56" i="18"/>
  <c r="X56" i="18"/>
  <c r="W60" i="18"/>
  <c r="X60" i="18"/>
  <c r="W64" i="18"/>
  <c r="X64" i="18"/>
  <c r="W26" i="18"/>
  <c r="X26" i="18"/>
  <c r="W28" i="18"/>
  <c r="X28" i="18"/>
  <c r="W70" i="18"/>
  <c r="X70" i="18"/>
  <c r="W20" i="18"/>
  <c r="X20" i="18"/>
  <c r="W59" i="18"/>
  <c r="X59" i="18"/>
  <c r="W65" i="18"/>
  <c r="X65" i="18"/>
  <c r="W25" i="18"/>
  <c r="X25" i="18"/>
  <c r="X68" i="18"/>
  <c r="W68" i="18"/>
  <c r="W57" i="18"/>
  <c r="X57" i="18"/>
  <c r="W55" i="18"/>
  <c r="X55" i="18"/>
  <c r="W53" i="18"/>
  <c r="X53" i="18"/>
  <c r="W62" i="18"/>
  <c r="X62" i="18"/>
  <c r="W54" i="18"/>
  <c r="X54" i="18"/>
  <c r="W23" i="18"/>
  <c r="X23" i="18"/>
  <c r="W58" i="18"/>
  <c r="X58" i="18"/>
  <c r="X24" i="18"/>
  <c r="W24" i="18"/>
  <c r="W66" i="18"/>
  <c r="X66" i="18"/>
  <c r="W27" i="18"/>
  <c r="X27" i="18"/>
  <c r="X69" i="18"/>
  <c r="W69" i="18"/>
  <c r="W29" i="18"/>
  <c r="X29" i="18"/>
  <c r="AL71" i="18"/>
  <c r="AM72" i="18"/>
  <c r="G255" i="20" l="1"/>
  <c r="I256" i="20"/>
  <c r="K256" i="20"/>
  <c r="J256" i="20"/>
  <c r="U97" i="18"/>
  <c r="V97" i="18" s="1"/>
  <c r="N58" i="18"/>
  <c r="AL70" i="18"/>
  <c r="AM71" i="18"/>
  <c r="G254" i="20" l="1"/>
  <c r="J255" i="20"/>
  <c r="K255" i="20"/>
  <c r="I255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53" i="20" l="1"/>
  <c r="K254" i="20"/>
  <c r="I254" i="20"/>
  <c r="J254" i="20"/>
  <c r="AL68" i="18"/>
  <c r="AM69" i="18"/>
  <c r="N2" i="33"/>
  <c r="G252" i="20" l="1"/>
  <c r="I253" i="20"/>
  <c r="K253" i="20"/>
  <c r="J253" i="20"/>
  <c r="AL67" i="18"/>
  <c r="AM68" i="18"/>
  <c r="I2" i="33"/>
  <c r="E2" i="33"/>
  <c r="J2" i="33"/>
  <c r="F2" i="33"/>
  <c r="K2" i="33"/>
  <c r="G2" i="33"/>
  <c r="D2" i="33"/>
  <c r="C2" i="33"/>
  <c r="H2" i="33"/>
  <c r="D73" i="45"/>
  <c r="G251" i="20" l="1"/>
  <c r="K252" i="20"/>
  <c r="J252" i="20"/>
  <c r="I252" i="20"/>
  <c r="AL66" i="18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G250" i="20" l="1"/>
  <c r="J251" i="20"/>
  <c r="K251" i="20"/>
  <c r="I251" i="20"/>
  <c r="AL65" i="18"/>
  <c r="AM66" i="18"/>
  <c r="E45" i="14"/>
  <c r="G249" i="20" l="1"/>
  <c r="J250" i="20"/>
  <c r="I250" i="20"/>
  <c r="K250" i="20"/>
  <c r="AL64" i="18"/>
  <c r="AM65" i="18"/>
  <c r="E44" i="14"/>
  <c r="G248" i="20" l="1"/>
  <c r="I249" i="20"/>
  <c r="J249" i="20"/>
  <c r="K249" i="20"/>
  <c r="AM64" i="18"/>
  <c r="AL63" i="18"/>
  <c r="E43" i="14"/>
  <c r="G247" i="20" l="1"/>
  <c r="I248" i="20"/>
  <c r="J248" i="20"/>
  <c r="K248" i="20"/>
  <c r="AL62" i="18"/>
  <c r="AM63" i="18"/>
  <c r="E42" i="14"/>
  <c r="G42" i="14" s="1"/>
  <c r="G246" i="20" l="1"/>
  <c r="J247" i="20"/>
  <c r="K247" i="20"/>
  <c r="I247" i="20"/>
  <c r="AL61" i="18"/>
  <c r="AM62" i="18"/>
  <c r="E41" i="14"/>
  <c r="G41" i="14" s="1"/>
  <c r="G245" i="20" l="1"/>
  <c r="J246" i="20"/>
  <c r="K246" i="20"/>
  <c r="I246" i="20"/>
  <c r="AM61" i="18"/>
  <c r="AL60" i="18"/>
  <c r="E40" i="14"/>
  <c r="G40" i="14" s="1"/>
  <c r="G244" i="20" l="1"/>
  <c r="J245" i="20"/>
  <c r="I245" i="20"/>
  <c r="K245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43" i="20" l="1"/>
  <c r="K244" i="20"/>
  <c r="J244" i="20"/>
  <c r="I244" i="20"/>
  <c r="AM59" i="18"/>
  <c r="AL58" i="18"/>
  <c r="E38" i="14"/>
  <c r="G38" i="14" s="1"/>
  <c r="G242" i="20" l="1"/>
  <c r="J243" i="20"/>
  <c r="K243" i="20"/>
  <c r="I243" i="20"/>
  <c r="AL57" i="18"/>
  <c r="AM58" i="18"/>
  <c r="E37" i="14"/>
  <c r="G37" i="14" s="1"/>
  <c r="G241" i="20" l="1"/>
  <c r="J242" i="20"/>
  <c r="K242" i="20"/>
  <c r="I242" i="20"/>
  <c r="AL56" i="18"/>
  <c r="AM57" i="18"/>
  <c r="E36" i="14"/>
  <c r="G36" i="14" s="1"/>
  <c r="B105" i="13"/>
  <c r="B196" i="13" s="1"/>
  <c r="G240" i="20" l="1"/>
  <c r="K241" i="20"/>
  <c r="J241" i="20"/>
  <c r="I241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39" i="20" l="1"/>
  <c r="K240" i="20"/>
  <c r="J240" i="20"/>
  <c r="I240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38" i="20" l="1"/>
  <c r="K239" i="20"/>
  <c r="J239" i="20"/>
  <c r="I239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37" i="20" l="1"/>
  <c r="J238" i="20"/>
  <c r="K238" i="20"/>
  <c r="I238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36" i="20" l="1"/>
  <c r="K237" i="20"/>
  <c r="J237" i="20"/>
  <c r="I237" i="20"/>
  <c r="H33" i="48"/>
  <c r="B27" i="50"/>
  <c r="D2" i="50"/>
  <c r="G2" i="50"/>
  <c r="G28" i="50" s="1"/>
  <c r="AL51" i="18"/>
  <c r="AM52" i="18"/>
  <c r="D27" i="48"/>
  <c r="E253" i="15"/>
  <c r="E252" i="15"/>
  <c r="G235" i="20" l="1"/>
  <c r="K236" i="20"/>
  <c r="I236" i="20"/>
  <c r="J236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G234" i="20" l="1"/>
  <c r="I235" i="20"/>
  <c r="J235" i="20"/>
  <c r="K235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G233" i="20" l="1"/>
  <c r="K234" i="20"/>
  <c r="J234" i="20"/>
  <c r="I234" i="20"/>
  <c r="AL48" i="18"/>
  <c r="AM49" i="18"/>
  <c r="E30" i="14"/>
  <c r="G31" i="14"/>
  <c r="E248" i="15"/>
  <c r="G232" i="20" l="1"/>
  <c r="J233" i="20"/>
  <c r="K233" i="20"/>
  <c r="I233" i="20"/>
  <c r="AL47" i="18"/>
  <c r="AM48" i="18"/>
  <c r="E29" i="14"/>
  <c r="G30" i="14"/>
  <c r="E247" i="15"/>
  <c r="E246" i="15"/>
  <c r="G231" i="20" l="1"/>
  <c r="J232" i="20"/>
  <c r="I232" i="20"/>
  <c r="K232" i="20"/>
  <c r="AL46" i="18"/>
  <c r="AM47" i="18"/>
  <c r="E28" i="14"/>
  <c r="G29" i="14"/>
  <c r="E245" i="15"/>
  <c r="G230" i="20" l="1"/>
  <c r="I231" i="20"/>
  <c r="J231" i="20"/>
  <c r="K231" i="20"/>
  <c r="AM46" i="18"/>
  <c r="AL45" i="18"/>
  <c r="E27" i="14"/>
  <c r="G28" i="14"/>
  <c r="N15" i="33"/>
  <c r="E244" i="15"/>
  <c r="G229" i="20" l="1"/>
  <c r="J230" i="20"/>
  <c r="I230" i="20"/>
  <c r="K230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28" i="20" l="1"/>
  <c r="J229" i="20"/>
  <c r="I229" i="20"/>
  <c r="K229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27" i="20" l="1"/>
  <c r="J228" i="20"/>
  <c r="K228" i="20"/>
  <c r="I228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26" i="20" l="1"/>
  <c r="K227" i="20"/>
  <c r="J227" i="20"/>
  <c r="I227" i="20"/>
  <c r="AL41" i="18"/>
  <c r="AM42" i="18"/>
  <c r="E23" i="14"/>
  <c r="G24" i="14"/>
  <c r="H25" i="43"/>
  <c r="G2" i="43"/>
  <c r="G25" i="43" s="1"/>
  <c r="G30" i="43" s="1"/>
  <c r="H30" i="43" s="1"/>
  <c r="G225" i="20" l="1"/>
  <c r="J226" i="20"/>
  <c r="K226" i="20"/>
  <c r="I226" i="20"/>
  <c r="AM41" i="18"/>
  <c r="AL40" i="18"/>
  <c r="E22" i="14"/>
  <c r="G23" i="14"/>
  <c r="I2" i="43"/>
  <c r="I25" i="43" s="1"/>
  <c r="I30" i="43" s="1"/>
  <c r="D24" i="43"/>
  <c r="G224" i="20" l="1"/>
  <c r="J225" i="20"/>
  <c r="I225" i="20"/>
  <c r="K225" i="20"/>
  <c r="AL39" i="18"/>
  <c r="AM40" i="18"/>
  <c r="E21" i="14"/>
  <c r="E20" i="14" s="1"/>
  <c r="E19" i="14" s="1"/>
  <c r="E18" i="14" s="1"/>
  <c r="G22" i="14"/>
  <c r="E243" i="15"/>
  <c r="G223" i="20" l="1"/>
  <c r="K224" i="20"/>
  <c r="J224" i="20"/>
  <c r="I224" i="20"/>
  <c r="AM39" i="18"/>
  <c r="AL38" i="18"/>
  <c r="E242" i="15"/>
  <c r="G222" i="20" l="1"/>
  <c r="J223" i="20"/>
  <c r="I223" i="20"/>
  <c r="K223" i="20"/>
  <c r="AL37" i="18"/>
  <c r="AM38" i="18"/>
  <c r="J57" i="33"/>
  <c r="J55" i="33"/>
  <c r="J54" i="33"/>
  <c r="G221" i="20" l="1"/>
  <c r="K222" i="20"/>
  <c r="J222" i="20"/>
  <c r="I222" i="20"/>
  <c r="AL36" i="18"/>
  <c r="AM37" i="18"/>
  <c r="L57" i="33"/>
  <c r="E241" i="15"/>
  <c r="G220" i="20" l="1"/>
  <c r="J221" i="20"/>
  <c r="I221" i="20"/>
  <c r="K221" i="20"/>
  <c r="AM36" i="18"/>
  <c r="AL35" i="18"/>
  <c r="D168" i="20"/>
  <c r="G219" i="20" l="1"/>
  <c r="K220" i="20"/>
  <c r="J220" i="20"/>
  <c r="I220" i="20"/>
  <c r="AL34" i="18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G218" i="20" l="1"/>
  <c r="J219" i="20"/>
  <c r="K219" i="20"/>
  <c r="I219" i="20"/>
  <c r="AL33" i="18"/>
  <c r="AM34" i="18"/>
  <c r="D252" i="15"/>
  <c r="F253" i="15"/>
  <c r="G217" i="20" l="1"/>
  <c r="K218" i="20"/>
  <c r="I218" i="20"/>
  <c r="J218" i="20"/>
  <c r="AL32" i="18"/>
  <c r="AM33" i="18"/>
  <c r="D251" i="15"/>
  <c r="F252" i="15"/>
  <c r="J217" i="20" l="1"/>
  <c r="G216" i="20"/>
  <c r="I217" i="20"/>
  <c r="K217" i="20"/>
  <c r="AL31" i="18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15" i="20" l="1"/>
  <c r="I216" i="20"/>
  <c r="J216" i="20"/>
  <c r="K216" i="20"/>
  <c r="AL30" i="18"/>
  <c r="AM31" i="18"/>
  <c r="D249" i="15"/>
  <c r="F250" i="15"/>
  <c r="L60" i="32"/>
  <c r="L48" i="32"/>
  <c r="G214" i="20" l="1"/>
  <c r="I215" i="20"/>
  <c r="J215" i="20"/>
  <c r="K215" i="20"/>
  <c r="AL29" i="18"/>
  <c r="AM30" i="18"/>
  <c r="F249" i="15"/>
  <c r="D248" i="15"/>
  <c r="G213" i="20" l="1"/>
  <c r="K214" i="20"/>
  <c r="J214" i="20"/>
  <c r="I214" i="20"/>
  <c r="AM29" i="18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12" i="20" l="1"/>
  <c r="K213" i="20"/>
  <c r="J213" i="20"/>
  <c r="I213" i="20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211" i="20" l="1"/>
  <c r="K212" i="20"/>
  <c r="I212" i="20"/>
  <c r="J212" i="20"/>
  <c r="AL26" i="18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G210" i="20" l="1"/>
  <c r="K211" i="20"/>
  <c r="J211" i="20"/>
  <c r="I211" i="20"/>
  <c r="AL25" i="18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09" i="20" l="1"/>
  <c r="J210" i="20"/>
  <c r="K210" i="20"/>
  <c r="I210" i="20"/>
  <c r="AL24" i="18"/>
  <c r="AM25" i="18"/>
  <c r="E178" i="13"/>
  <c r="G179" i="13"/>
  <c r="D243" i="15"/>
  <c r="F244" i="15"/>
  <c r="G208" i="20" l="1"/>
  <c r="K209" i="20"/>
  <c r="J209" i="20"/>
  <c r="I209" i="20"/>
  <c r="AM24" i="18"/>
  <c r="AL23" i="18"/>
  <c r="E177" i="13"/>
  <c r="G178" i="13"/>
  <c r="F243" i="15"/>
  <c r="D242" i="15"/>
  <c r="G207" i="20" l="1"/>
  <c r="I208" i="20"/>
  <c r="K208" i="20"/>
  <c r="J208" i="20"/>
  <c r="AM23" i="18"/>
  <c r="AL22" i="18"/>
  <c r="E176" i="13"/>
  <c r="G177" i="13"/>
  <c r="F242" i="15"/>
  <c r="D241" i="15"/>
  <c r="D165" i="20"/>
  <c r="G206" i="20" l="1"/>
  <c r="J207" i="20"/>
  <c r="K207" i="20"/>
  <c r="I207" i="20"/>
  <c r="AL21" i="18"/>
  <c r="AL20" i="18" s="1"/>
  <c r="AM22" i="18"/>
  <c r="E175" i="13"/>
  <c r="G176" i="13"/>
  <c r="F241" i="15"/>
  <c r="D240" i="15"/>
  <c r="D164" i="20"/>
  <c r="G205" i="20" l="1"/>
  <c r="K206" i="20"/>
  <c r="J206" i="20"/>
  <c r="I206" i="20"/>
  <c r="AM21" i="18"/>
  <c r="AM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04" i="20" l="1"/>
  <c r="I205" i="20"/>
  <c r="K205" i="20"/>
  <c r="J205" i="20"/>
  <c r="AM102" i="18"/>
  <c r="E173" i="13"/>
  <c r="G174" i="13"/>
  <c r="D238" i="15"/>
  <c r="F239" i="15"/>
  <c r="X720" i="41"/>
  <c r="U2123" i="41"/>
  <c r="G203" i="20" l="1"/>
  <c r="K204" i="20"/>
  <c r="J204" i="20"/>
  <c r="I204" i="20"/>
  <c r="AN102" i="18"/>
  <c r="AJ107" i="18" s="1"/>
  <c r="AJ111" i="18" s="1"/>
  <c r="E172" i="13"/>
  <c r="G173" i="13"/>
  <c r="D237" i="15"/>
  <c r="F238" i="15"/>
  <c r="D62" i="38"/>
  <c r="G202" i="20" l="1"/>
  <c r="K203" i="20"/>
  <c r="J203" i="20"/>
  <c r="I203" i="20"/>
  <c r="AJ110" i="18"/>
  <c r="E171" i="13"/>
  <c r="G172" i="13"/>
  <c r="F237" i="15"/>
  <c r="D236" i="15"/>
  <c r="G201" i="20" l="1"/>
  <c r="J202" i="20"/>
  <c r="K202" i="20"/>
  <c r="I202" i="20"/>
  <c r="E170" i="13"/>
  <c r="G171" i="13"/>
  <c r="D235" i="15"/>
  <c r="F236" i="15"/>
  <c r="G200" i="20" l="1"/>
  <c r="I201" i="20"/>
  <c r="K201" i="20"/>
  <c r="J201" i="20"/>
  <c r="E169" i="13"/>
  <c r="G170" i="13"/>
  <c r="F235" i="15"/>
  <c r="D234" i="15"/>
  <c r="D163" i="20"/>
  <c r="G199" i="20" l="1"/>
  <c r="K200" i="20"/>
  <c r="J200" i="20"/>
  <c r="I200" i="20"/>
  <c r="E168" i="13"/>
  <c r="G169" i="13"/>
  <c r="F234" i="15"/>
  <c r="D233" i="15"/>
  <c r="G198" i="20" l="1"/>
  <c r="J199" i="20"/>
  <c r="K199" i="20"/>
  <c r="I199" i="20"/>
  <c r="E167" i="13"/>
  <c r="G168" i="13"/>
  <c r="D232" i="15"/>
  <c r="F233" i="15"/>
  <c r="D162" i="20"/>
  <c r="G197" i="20" l="1"/>
  <c r="J198" i="20"/>
  <c r="K198" i="20"/>
  <c r="I198" i="20"/>
  <c r="E166" i="13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196" i="20" l="1"/>
  <c r="K197" i="20"/>
  <c r="I197" i="20"/>
  <c r="J197" i="20"/>
  <c r="G72" i="16"/>
  <c r="E165" i="13"/>
  <c r="G166" i="13"/>
  <c r="F231" i="15"/>
  <c r="D230" i="15"/>
  <c r="G71" i="16"/>
  <c r="G70" i="16"/>
  <c r="G69" i="16"/>
  <c r="D160" i="20"/>
  <c r="G195" i="20" l="1"/>
  <c r="J196" i="20"/>
  <c r="I196" i="20"/>
  <c r="K196" i="20"/>
  <c r="E164" i="13"/>
  <c r="G165" i="13"/>
  <c r="F230" i="15"/>
  <c r="D229" i="15"/>
  <c r="D159" i="20"/>
  <c r="G194" i="20" l="1"/>
  <c r="J195" i="20"/>
  <c r="K195" i="20"/>
  <c r="I195" i="20"/>
  <c r="E163" i="13"/>
  <c r="G164" i="13"/>
  <c r="F229" i="15"/>
  <c r="D228" i="15"/>
  <c r="D158" i="20"/>
  <c r="D157" i="20"/>
  <c r="G193" i="20" l="1"/>
  <c r="J194" i="20"/>
  <c r="K194" i="20"/>
  <c r="I194" i="20"/>
  <c r="E162" i="13"/>
  <c r="G163" i="13"/>
  <c r="F228" i="15"/>
  <c r="D227" i="15"/>
  <c r="D156" i="20"/>
  <c r="G192" i="20" l="1"/>
  <c r="K193" i="20"/>
  <c r="J193" i="20"/>
  <c r="I193" i="20"/>
  <c r="E161" i="13"/>
  <c r="G162" i="13"/>
  <c r="F227" i="15"/>
  <c r="D226" i="15"/>
  <c r="D155" i="20"/>
  <c r="G191" i="20" l="1"/>
  <c r="J192" i="20"/>
  <c r="K192" i="20"/>
  <c r="I192" i="20"/>
  <c r="E160" i="13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190" i="20" l="1"/>
  <c r="J191" i="20"/>
  <c r="K191" i="20"/>
  <c r="I191" i="20"/>
  <c r="E159" i="13"/>
  <c r="G160" i="13"/>
  <c r="G189" i="20" l="1"/>
  <c r="J190" i="20"/>
  <c r="K190" i="20"/>
  <c r="I190" i="20"/>
  <c r="E158" i="13"/>
  <c r="G159" i="13"/>
  <c r="D154" i="20"/>
  <c r="D153" i="20"/>
  <c r="G188" i="20" l="1"/>
  <c r="K189" i="20"/>
  <c r="I189" i="20"/>
  <c r="J189" i="20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G187" i="20" l="1"/>
  <c r="J188" i="20"/>
  <c r="I188" i="20"/>
  <c r="K188" i="20"/>
  <c r="E156" i="13"/>
  <c r="G157" i="13"/>
  <c r="G186" i="20" l="1"/>
  <c r="I187" i="20"/>
  <c r="J187" i="20"/>
  <c r="K187" i="20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185" i="20" l="1"/>
  <c r="K186" i="20"/>
  <c r="I186" i="20"/>
  <c r="J186" i="20"/>
  <c r="E154" i="13"/>
  <c r="G155" i="13"/>
  <c r="I46" i="32"/>
  <c r="G184" i="20" l="1"/>
  <c r="K185" i="20"/>
  <c r="J185" i="20"/>
  <c r="I185" i="20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G183" i="20" l="1"/>
  <c r="I184" i="20"/>
  <c r="K184" i="20"/>
  <c r="J184" i="20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182" i="20" l="1"/>
  <c r="I183" i="20"/>
  <c r="K183" i="20"/>
  <c r="J183" i="20"/>
  <c r="E151" i="13"/>
  <c r="G152" i="13"/>
  <c r="G181" i="20" l="1"/>
  <c r="J182" i="20"/>
  <c r="K182" i="20"/>
  <c r="I182" i="20"/>
  <c r="E150" i="13"/>
  <c r="G151" i="13"/>
  <c r="G180" i="20" l="1"/>
  <c r="K181" i="20"/>
  <c r="I181" i="20"/>
  <c r="J181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G179" i="20" l="1"/>
  <c r="K180" i="20"/>
  <c r="I180" i="20"/>
  <c r="J180" i="20"/>
  <c r="E148" i="13"/>
  <c r="G149" i="13"/>
  <c r="G178" i="20" l="1"/>
  <c r="J179" i="20"/>
  <c r="I179" i="20"/>
  <c r="K179" i="20"/>
  <c r="E147" i="13"/>
  <c r="G148" i="13"/>
  <c r="G177" i="20" l="1"/>
  <c r="K178" i="20"/>
  <c r="J178" i="20"/>
  <c r="I178" i="20"/>
  <c r="E146" i="13"/>
  <c r="G147" i="13"/>
  <c r="K47" i="32"/>
  <c r="U47" i="32" s="1"/>
  <c r="U46" i="32"/>
  <c r="G176" i="20" l="1"/>
  <c r="J177" i="20"/>
  <c r="K177" i="20"/>
  <c r="I177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G175" i="20" l="1"/>
  <c r="J176" i="20"/>
  <c r="K176" i="20"/>
  <c r="I176" i="20"/>
  <c r="E144" i="13"/>
  <c r="G145" i="13"/>
  <c r="AD15" i="32"/>
  <c r="AB15" i="32"/>
  <c r="Z34" i="32"/>
  <c r="G45" i="10"/>
  <c r="D42" i="34"/>
  <c r="G174" i="20" l="1"/>
  <c r="K175" i="20"/>
  <c r="J175" i="20"/>
  <c r="I175" i="20"/>
  <c r="E143" i="13"/>
  <c r="G144" i="13"/>
  <c r="AC16" i="32"/>
  <c r="AD16" i="32"/>
  <c r="AB16" i="32"/>
  <c r="J174" i="20" l="1"/>
  <c r="I174" i="20"/>
  <c r="G173" i="20"/>
  <c r="E142" i="13"/>
  <c r="G143" i="13"/>
  <c r="G172" i="20" l="1"/>
  <c r="K173" i="20"/>
  <c r="J173" i="20"/>
  <c r="I173" i="20"/>
  <c r="E141" i="13"/>
  <c r="G142" i="13"/>
  <c r="U8" i="32"/>
  <c r="G171" i="20" l="1"/>
  <c r="I172" i="20"/>
  <c r="K172" i="20"/>
  <c r="J172" i="20"/>
  <c r="E140" i="13"/>
  <c r="G141" i="13"/>
  <c r="G170" i="20" l="1"/>
  <c r="K171" i="20"/>
  <c r="J171" i="20"/>
  <c r="I171" i="20"/>
  <c r="E139" i="13"/>
  <c r="G140" i="13"/>
  <c r="N34" i="33"/>
  <c r="G169" i="20" l="1"/>
  <c r="K170" i="20"/>
  <c r="J170" i="20"/>
  <c r="I170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68" i="20" l="1"/>
  <c r="I169" i="20"/>
  <c r="J169" i="20"/>
  <c r="K169" i="20"/>
  <c r="E137" i="13"/>
  <c r="G138" i="13"/>
  <c r="Q43" i="32"/>
  <c r="G167" i="20" l="1"/>
  <c r="I168" i="20"/>
  <c r="J168" i="20"/>
  <c r="K168" i="20"/>
  <c r="E136" i="13"/>
  <c r="G137" i="13"/>
  <c r="I42" i="32"/>
  <c r="K41" i="32"/>
  <c r="M41" i="32"/>
  <c r="M29" i="32"/>
  <c r="R29" i="32" s="1"/>
  <c r="K29" i="32"/>
  <c r="G166" i="20" l="1"/>
  <c r="K167" i="20"/>
  <c r="I167" i="20"/>
  <c r="J167" i="20"/>
  <c r="E135" i="13"/>
  <c r="G136" i="13"/>
  <c r="Q29" i="32"/>
  <c r="G165" i="20" l="1"/>
  <c r="K166" i="20"/>
  <c r="J166" i="20"/>
  <c r="I166" i="20"/>
  <c r="E134" i="13"/>
  <c r="G135" i="13"/>
  <c r="U29" i="32"/>
  <c r="U62" i="32"/>
  <c r="U63" i="32"/>
  <c r="U64" i="32"/>
  <c r="U65" i="32"/>
  <c r="U66" i="32"/>
  <c r="U67" i="32"/>
  <c r="U68" i="32"/>
  <c r="AC28" i="33"/>
  <c r="G164" i="20" l="1"/>
  <c r="I165" i="20"/>
  <c r="K165" i="20"/>
  <c r="J165" i="20"/>
  <c r="E133" i="13"/>
  <c r="G134" i="13"/>
  <c r="AE24" i="33"/>
  <c r="G163" i="20" l="1"/>
  <c r="I164" i="20"/>
  <c r="K164" i="20"/>
  <c r="J164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62" i="20" l="1"/>
  <c r="J163" i="20"/>
  <c r="K163" i="20"/>
  <c r="I163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61" i="20" l="1"/>
  <c r="K162" i="20"/>
  <c r="J162" i="20"/>
  <c r="I162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K174" i="20" s="1"/>
  <c r="G160" i="20" l="1"/>
  <c r="K161" i="20"/>
  <c r="J161" i="20"/>
  <c r="I161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59" i="20" l="1"/>
  <c r="J160" i="20"/>
  <c r="K160" i="20"/>
  <c r="I160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58" i="20" l="1"/>
  <c r="J159" i="20"/>
  <c r="K159" i="20"/>
  <c r="I159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57" i="20" l="1"/>
  <c r="J158" i="20"/>
  <c r="K158" i="20"/>
  <c r="I158" i="20"/>
  <c r="E126" i="13"/>
  <c r="G127" i="13"/>
  <c r="H30" i="42"/>
  <c r="I2" i="42"/>
  <c r="I25" i="42" s="1"/>
  <c r="I30" i="42" s="1"/>
  <c r="D24" i="42"/>
  <c r="K28" i="32"/>
  <c r="G156" i="20" l="1"/>
  <c r="J157" i="20"/>
  <c r="I157" i="20"/>
  <c r="K157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55" i="20" l="1"/>
  <c r="I156" i="20"/>
  <c r="K156" i="20"/>
  <c r="J156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54" i="20" l="1"/>
  <c r="K155" i="20"/>
  <c r="I155" i="20"/>
  <c r="J155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53" i="20" l="1"/>
  <c r="K154" i="20"/>
  <c r="J154" i="20"/>
  <c r="I154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52" i="20" l="1"/>
  <c r="K153" i="20"/>
  <c r="J153" i="20"/>
  <c r="I153" i="20"/>
  <c r="G102" i="13"/>
  <c r="G196" i="13"/>
  <c r="G199" i="13" s="1"/>
  <c r="G103" i="13"/>
  <c r="U14" i="32"/>
  <c r="L14" i="32" s="1"/>
  <c r="Q9" i="32"/>
  <c r="R9" i="32"/>
  <c r="Y5" i="33"/>
  <c r="G151" i="20" l="1"/>
  <c r="I152" i="20"/>
  <c r="J152" i="20"/>
  <c r="K152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J151" i="20" l="1"/>
  <c r="I151" i="20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70" i="20" s="1"/>
  <c r="I119" i="20" l="1"/>
  <c r="K119" i="20"/>
  <c r="J116" i="20"/>
  <c r="E49" i="13"/>
  <c r="G50" i="13"/>
  <c r="I126" i="20"/>
  <c r="N17" i="18" l="1"/>
  <c r="N62" i="18" s="1"/>
  <c r="D277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3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2" i="18" s="1"/>
  <c r="L63" i="18" l="1"/>
  <c r="F22" i="18"/>
  <c r="E33" i="13"/>
  <c r="G34" i="13"/>
  <c r="I97" i="20"/>
  <c r="K97" i="20"/>
  <c r="J97" i="20"/>
  <c r="F108" i="15"/>
  <c r="C20" i="18"/>
  <c r="G20" i="14"/>
  <c r="G21" i="14"/>
  <c r="L64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70" i="20" s="1"/>
  <c r="J2" i="20"/>
  <c r="J270" i="20" s="1"/>
  <c r="I2" i="20"/>
  <c r="I270" i="20" s="1"/>
  <c r="F13" i="15"/>
  <c r="I273" i="20" l="1"/>
  <c r="J273" i="20"/>
  <c r="K273" i="20"/>
  <c r="F12" i="15"/>
  <c r="J277" i="20" l="1"/>
  <c r="K277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96" i="18" l="1"/>
  <c r="V96" i="18" s="1"/>
  <c r="U99" i="18"/>
  <c r="V99" i="18" s="1"/>
</calcChain>
</file>

<file path=xl/sharedStrings.xml><?xml version="1.0" encoding="utf-8"?>
<sst xmlns="http://schemas.openxmlformats.org/spreadsheetml/2006/main" count="9796" uniqueCount="4589">
  <si>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</si>
  <si>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</si>
  <si>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</si>
  <si>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</si>
  <si>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</si>
  <si>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</si>
  <si>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</si>
  <si>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</si>
  <si>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</si>
  <si>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</si>
  <si>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</si>
  <si>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</si>
  <si>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</si>
  <si>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</si>
  <si>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</si>
  <si>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</si>
  <si>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</si>
  <si>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</si>
  <si>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</si>
  <si>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</si>
  <si>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</si>
  <si>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</si>
  <si>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</si>
  <si>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</si>
  <si>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</si>
  <si>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</si>
  <si>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</si>
  <si>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</si>
  <si>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</si>
  <si>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</si>
  <si>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</si>
  <si>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</si>
  <si>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</si>
  <si>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</si>
  <si>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</si>
  <si>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</si>
  <si>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</si>
  <si>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</si>
  <si>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</si>
  <si>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</si>
  <si>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</si>
  <si>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</si>
  <si>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</si>
  <si>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</si>
  <si>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</si>
  <si>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</si>
  <si>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</si>
  <si>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</si>
  <si>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</si>
  <si>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</si>
  <si>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</si>
  <si>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</si>
  <si>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</si>
  <si>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</si>
  <si>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</si>
  <si>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</si>
  <si>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</si>
  <si>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</si>
  <si>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</si>
  <si>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</si>
  <si>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</si>
  <si>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</si>
  <si>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</si>
  <si>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</si>
  <si>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</si>
  <si>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</si>
  <si>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</si>
  <si>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</si>
  <si>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</si>
  <si>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</si>
  <si>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</si>
  <si>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</si>
  <si>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</si>
  <si>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</si>
  <si>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</si>
  <si>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</si>
  <si>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</si>
  <si>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</si>
  <si>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</si>
  <si>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</si>
  <si>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</si>
  <si>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</si>
  <si>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</si>
  <si>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</si>
  <si>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</si>
  <si>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</si>
  <si>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</si>
  <si>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</si>
  <si>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</si>
  <si>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</si>
  <si>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</si>
  <si>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</si>
  <si>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</si>
  <si>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</si>
  <si>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</si>
  <si>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</si>
  <si>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</si>
  <si>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</si>
  <si>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</si>
  <si>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</si>
  <si>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</si>
  <si>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</si>
  <si>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</si>
  <si>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</si>
  <si>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</si>
  <si>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</si>
  <si>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</si>
  <si>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</si>
  <si>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</si>
  <si>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</si>
  <si>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</si>
  <si>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</si>
  <si>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</si>
  <si>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</si>
  <si>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</si>
  <si>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</si>
  <si>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</si>
  <si>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</si>
  <si>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</si>
  <si>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</si>
  <si>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</si>
  <si>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</si>
  <si>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</si>
  <si>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</si>
  <si>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</si>
  <si>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</si>
  <si>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</si>
  <si>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</si>
  <si>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</si>
  <si>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</si>
  <si>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</si>
  <si>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</si>
  <si>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</si>
  <si>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</si>
  <si>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</si>
  <si>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</si>
  <si>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</si>
  <si>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</si>
  <si>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</si>
  <si>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</si>
  <si>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</si>
  <si>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</si>
  <si>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</si>
  <si>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</si>
  <si>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</si>
  <si>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</si>
  <si>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</si>
  <si>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</si>
  <si>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</si>
  <si>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</si>
  <si>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</si>
  <si>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</si>
  <si>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</si>
  <si>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</si>
  <si>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</si>
  <si>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</si>
  <si>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</si>
  <si>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</si>
  <si>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</si>
  <si>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</si>
  <si>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</si>
  <si>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</si>
  <si>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</si>
  <si>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</si>
  <si>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</si>
  <si>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</si>
  <si>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</si>
  <si>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</si>
  <si>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</si>
  <si>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</si>
  <si>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</si>
  <si>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</si>
  <si>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</si>
  <si>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</si>
  <si>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</si>
  <si>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</si>
  <si>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</si>
  <si>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</si>
  <si>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</si>
  <si>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</si>
  <si>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</si>
  <si>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</si>
  <si>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</si>
  <si>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</si>
  <si>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</si>
  <si>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</si>
  <si>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</si>
  <si>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</si>
  <si>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</si>
  <si>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</si>
  <si>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</si>
  <si>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</si>
  <si>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</si>
  <si>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</si>
  <si>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</si>
  <si>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</si>
  <si>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</si>
  <si>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</si>
  <si>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</si>
  <si>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</si>
  <si>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</si>
  <si>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</si>
  <si>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</si>
  <si>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</si>
  <si>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</si>
  <si>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</si>
  <si>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</si>
  <si>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</si>
  <si>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</si>
  <si>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</si>
  <si>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</si>
  <si>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</si>
  <si>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</si>
  <si>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</si>
  <si>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</si>
  <si>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</si>
  <si>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</si>
  <si>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</si>
  <si>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</si>
  <si>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</si>
  <si>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</si>
  <si>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</si>
  <si>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</si>
  <si>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</si>
  <si>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</si>
  <si>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</si>
  <si>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</si>
  <si>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</si>
  <si>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</si>
  <si>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</si>
  <si>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</si>
  <si>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</si>
  <si>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</si>
  <si>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</si>
  <si>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</si>
  <si>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</si>
  <si>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</si>
  <si>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</si>
  <si>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</si>
  <si>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</si>
  <si>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</si>
  <si>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</si>
  <si>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</si>
  <si>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</si>
  <si>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</si>
  <si>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</si>
  <si>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</si>
  <si>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</si>
  <si>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</si>
  <si>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</si>
  <si>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</si>
  <si>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</si>
  <si>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</si>
  <si>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</si>
  <si>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</si>
  <si>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</si>
  <si>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</si>
  <si>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</si>
  <si>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</si>
  <si>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</si>
  <si>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</si>
  <si>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</si>
  <si>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</si>
  <si>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</si>
  <si>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</si>
  <si>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</si>
  <si>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</si>
  <si>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</si>
  <si>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</si>
  <si>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</si>
  <si>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</si>
  <si>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</si>
  <si>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</si>
  <si>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</si>
  <si>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</si>
  <si>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</si>
  <si>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</si>
  <si>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</si>
  <si>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</si>
  <si>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</si>
  <si>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</si>
  <si>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</si>
  <si>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</si>
  <si>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</si>
  <si>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</si>
  <si>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</si>
  <si>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</si>
  <si>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</si>
  <si>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</si>
  <si>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</si>
  <si>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</si>
  <si>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</si>
  <si>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</si>
  <si>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</si>
  <si>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</si>
  <si>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</si>
  <si>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</si>
  <si>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</si>
  <si>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</si>
  <si>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</si>
  <si>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</si>
  <si>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</si>
  <si>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</si>
  <si>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</si>
  <si>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</si>
  <si>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</si>
  <si>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</si>
  <si>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</si>
  <si>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</si>
  <si>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</si>
  <si>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</si>
  <si>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</si>
  <si>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</si>
  <si>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</si>
  <si>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</si>
  <si>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</si>
  <si>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</si>
  <si>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</si>
  <si>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</si>
  <si>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</si>
  <si>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</si>
  <si>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</si>
  <si>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</si>
  <si>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</si>
  <si>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</si>
  <si>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</si>
  <si>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</si>
  <si>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</si>
  <si>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</si>
  <si>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</si>
  <si>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</si>
  <si>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</si>
  <si>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</si>
  <si>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</si>
  <si>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</si>
  <si>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</si>
  <si>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</si>
  <si>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</si>
  <si>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</si>
  <si>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</si>
  <si>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</si>
  <si>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</si>
  <si>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</si>
  <si>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</si>
  <si>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</si>
  <si>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</si>
  <si>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</si>
  <si>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</si>
  <si>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</si>
  <si>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</si>
  <si>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</si>
  <si>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</si>
  <si>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</si>
  <si>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</si>
  <si>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</si>
  <si>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</si>
  <si>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</si>
  <si>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</si>
  <si>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</si>
  <si>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</si>
  <si>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</si>
  <si>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</si>
  <si>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</si>
  <si>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</si>
  <si>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</si>
  <si>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</si>
  <si>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</si>
  <si>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</si>
  <si>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</si>
  <si>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</si>
  <si>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</si>
  <si>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</si>
  <si>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</si>
  <si>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</si>
  <si>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</si>
  <si>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</si>
  <si>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</si>
  <si>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</si>
  <si>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</si>
  <si>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</si>
  <si>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</si>
  <si>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</si>
  <si>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</si>
  <si>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</si>
  <si>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</si>
  <si>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</si>
  <si>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</si>
  <si>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</si>
  <si>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</si>
  <si>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</si>
  <si>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</si>
  <si>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</si>
  <si>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</si>
  <si>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</si>
  <si>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</si>
  <si>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</si>
  <si>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</si>
  <si>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</si>
  <si>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</si>
  <si>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</si>
  <si>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</si>
  <si>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</si>
  <si>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</si>
  <si>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</si>
  <si>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</si>
  <si>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</si>
  <si>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</si>
  <si>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</si>
  <si>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</si>
  <si>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</si>
  <si>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</si>
  <si>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</si>
  <si>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</si>
  <si>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</si>
  <si>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</si>
  <si>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</si>
  <si>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</si>
  <si>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</si>
  <si>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</si>
  <si>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</si>
  <si>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</si>
  <si>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</si>
  <si>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</si>
  <si>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</si>
  <si>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</si>
  <si>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</si>
  <si>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</si>
  <si>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</si>
  <si>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</si>
  <si>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</si>
  <si>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</si>
  <si>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</si>
  <si>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</si>
  <si>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</si>
  <si>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</si>
  <si>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</si>
  <si>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</si>
  <si>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</si>
  <si>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</si>
  <si>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</si>
  <si>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</si>
  <si>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</si>
  <si>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</si>
  <si>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</si>
  <si>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</si>
  <si>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</si>
  <si>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</si>
  <si>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</si>
  <si>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</si>
  <si>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</si>
  <si>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</si>
  <si>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</si>
  <si>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</si>
  <si>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</si>
  <si>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</si>
  <si>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</si>
  <si>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</si>
  <si>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</si>
  <si>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</si>
  <si>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</si>
  <si>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</si>
  <si>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</si>
  <si>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</si>
  <si>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</si>
  <si>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</si>
  <si>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</si>
  <si>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</si>
  <si>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</si>
  <si>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</si>
  <si>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</si>
  <si>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</si>
  <si>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</si>
  <si>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</si>
  <si>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</si>
  <si>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</si>
  <si>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</si>
  <si>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</si>
  <si>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</si>
  <si>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</si>
  <si>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</si>
  <si>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</si>
  <si>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</si>
  <si>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</si>
  <si>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</si>
  <si>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</si>
  <si>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</si>
  <si>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</si>
  <si>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</si>
  <si>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</si>
  <si>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</si>
  <si>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</si>
  <si>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</si>
  <si>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</si>
  <si>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</si>
  <si>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</si>
  <si>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</si>
  <si>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</si>
  <si>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</si>
  <si>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</si>
  <si>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</si>
  <si>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</si>
  <si>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</si>
  <si>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</si>
  <si>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</si>
  <si>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</si>
  <si>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</si>
  <si>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</si>
  <si>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</si>
  <si>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</si>
  <si>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</si>
  <si>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</si>
  <si>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</si>
  <si>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</si>
  <si>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</si>
  <si>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</si>
  <si>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</si>
  <si>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</si>
  <si>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</si>
  <si>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</si>
  <si>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</si>
  <si>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</si>
  <si>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</si>
  <si>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</si>
  <si>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</si>
  <si>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</si>
  <si>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</si>
  <si>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</si>
  <si>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</si>
  <si>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</si>
  <si>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</si>
  <si>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</si>
  <si>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</si>
  <si>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</si>
  <si>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</si>
  <si>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</si>
  <si>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</si>
  <si>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</si>
  <si>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</si>
  <si>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</si>
  <si>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</si>
  <si>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</si>
  <si>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</si>
  <si>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</si>
  <si>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</si>
  <si>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</si>
  <si>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</si>
  <si>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</si>
  <si>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</si>
  <si>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</si>
  <si>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</si>
  <si>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</si>
  <si>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</si>
  <si>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</si>
  <si>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</si>
  <si>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</si>
  <si>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</si>
  <si>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</si>
  <si>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</si>
  <si>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</si>
  <si>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</si>
  <si>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</si>
  <si>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</si>
  <si>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</si>
  <si>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</si>
  <si>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</si>
  <si>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</si>
  <si>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</si>
  <si>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</si>
  <si>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</si>
  <si>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</si>
  <si>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</si>
  <si>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</si>
  <si>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</si>
  <si>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</si>
  <si>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</si>
  <si>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</si>
  <si>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</si>
  <si>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</si>
  <si>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</si>
  <si>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</si>
  <si>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</si>
  <si>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</si>
  <si>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</si>
  <si>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</si>
  <si>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</si>
  <si>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</si>
  <si>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</si>
  <si>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</si>
  <si>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</si>
  <si>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</si>
  <si>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</si>
  <si>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</si>
  <si>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</si>
  <si>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</si>
  <si>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</si>
  <si>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</si>
  <si>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</si>
  <si>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</si>
  <si>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</si>
  <si>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</si>
  <si>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</si>
  <si>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</si>
  <si>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</si>
  <si>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</si>
  <si>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</si>
  <si>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</si>
  <si>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</si>
  <si>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</si>
  <si>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</si>
  <si>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</si>
  <si>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</si>
  <si>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</si>
  <si>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</si>
  <si>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</si>
  <si>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</si>
  <si>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</si>
  <si>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</si>
  <si>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</si>
  <si>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</si>
  <si>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</si>
  <si>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</si>
  <si>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</si>
  <si>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</si>
  <si>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</si>
  <si>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</si>
  <si>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</si>
  <si>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</si>
  <si>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</si>
  <si>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</si>
  <si>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</si>
  <si>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</si>
  <si>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</si>
  <si>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</si>
  <si>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</si>
  <si>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</si>
  <si>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</si>
  <si>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</si>
  <si>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</si>
  <si>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</si>
  <si>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</si>
  <si>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</si>
  <si>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</si>
  <si>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</si>
  <si>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</si>
  <si>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</si>
  <si>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</si>
  <si>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</si>
  <si>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</si>
  <si>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</si>
  <si>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</si>
  <si>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</si>
  <si>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</si>
  <si>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</si>
  <si>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</si>
  <si>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</si>
  <si>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</si>
  <si>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</si>
  <si>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</si>
  <si>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</si>
  <si>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</si>
  <si>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</si>
  <si>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</si>
  <si>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</si>
  <si>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</si>
  <si>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</si>
  <si>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</si>
  <si>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</si>
  <si>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</si>
  <si>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</si>
  <si>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</si>
  <si>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</si>
  <si>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</si>
  <si>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</si>
  <si>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</si>
  <si>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</si>
  <si>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</si>
  <si>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</si>
  <si>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</si>
  <si>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</si>
  <si>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</si>
  <si>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</si>
  <si>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</si>
  <si>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</si>
  <si>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</si>
  <si>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</si>
  <si>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</si>
  <si>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</si>
  <si>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</si>
  <si>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</si>
  <si>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</si>
  <si>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</si>
  <si>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</si>
  <si>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</si>
  <si>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</si>
  <si>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</si>
  <si>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</si>
  <si>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</si>
  <si>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</si>
  <si>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</si>
  <si>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</si>
  <si>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</si>
  <si>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</si>
  <si>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</si>
  <si>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</si>
  <si>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</si>
  <si>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</si>
  <si>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</si>
  <si>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</si>
  <si>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</si>
  <si>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</si>
  <si>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</si>
  <si>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</si>
  <si>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</si>
  <si>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</si>
  <si>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</si>
  <si>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</si>
  <si>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</si>
  <si>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</si>
  <si>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</si>
  <si>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</si>
  <si>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</si>
  <si>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</si>
  <si>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</si>
  <si>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</si>
  <si>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</si>
  <si>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</si>
  <si>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</si>
  <si>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</si>
  <si>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</si>
  <si>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</si>
  <si>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</si>
  <si>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</si>
  <si>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</si>
  <si>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</si>
  <si>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</si>
  <si>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</si>
  <si>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</si>
  <si>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</si>
  <si>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</si>
  <si>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</si>
  <si>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</si>
  <si>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</si>
  <si>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</si>
  <si>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</si>
  <si>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</si>
  <si>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</si>
  <si>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</si>
  <si>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</si>
  <si>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</si>
  <si>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</si>
  <si>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</si>
  <si>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</si>
  <si>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</si>
  <si>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</si>
  <si>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</si>
  <si>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</si>
  <si>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</si>
  <si>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</si>
  <si>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</si>
  <si>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</si>
  <si>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</si>
  <si>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</si>
  <si>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</si>
  <si>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</si>
  <si>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</si>
  <si>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</si>
  <si>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</si>
  <si>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</si>
  <si>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</si>
  <si>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</si>
  <si>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</si>
  <si>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</si>
  <si>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</si>
  <si>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</si>
  <si>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</si>
  <si>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</si>
  <si>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</si>
  <si>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</si>
  <si>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</si>
  <si>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</si>
  <si>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</si>
  <si>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</si>
  <si>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</si>
  <si>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</si>
  <si>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</si>
  <si>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</si>
  <si>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</si>
  <si>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</si>
  <si>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</si>
  <si>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</si>
  <si>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</si>
  <si>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</si>
  <si>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</si>
  <si>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</si>
  <si>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</si>
  <si>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</si>
  <si>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</si>
  <si>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</si>
  <si>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</si>
  <si>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</si>
  <si>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</si>
  <si>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</si>
  <si>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</si>
  <si>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</si>
  <si>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</si>
  <si>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</si>
  <si>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</si>
  <si>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</si>
  <si>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</si>
  <si>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</si>
  <si>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</si>
  <si>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</si>
  <si>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</si>
  <si>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</si>
  <si>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</si>
  <si>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</si>
  <si>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</si>
  <si>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</si>
  <si>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</si>
  <si>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</si>
  <si>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</si>
  <si>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</si>
  <si>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</si>
  <si>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</si>
  <si>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</si>
  <si>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</si>
  <si>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</si>
  <si>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</si>
  <si>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</si>
  <si>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</si>
  <si>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</si>
  <si>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</si>
  <si>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</si>
  <si>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</si>
  <si>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</si>
  <si>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</si>
  <si>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</si>
  <si>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</si>
  <si>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</si>
  <si>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</si>
  <si>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</si>
  <si>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</si>
  <si>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</si>
  <si>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</si>
  <si>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</si>
  <si>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</si>
  <si>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</si>
  <si>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</si>
  <si>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</si>
  <si>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</si>
  <si>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</si>
  <si>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</si>
  <si>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</si>
  <si>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</si>
  <si>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</si>
  <si>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</si>
  <si>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</si>
  <si>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</si>
  <si>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</si>
  <si>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</si>
  <si>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</si>
  <si>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</si>
  <si>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</si>
  <si>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</si>
  <si>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</si>
  <si>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</si>
  <si>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</si>
  <si>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</si>
  <si>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</si>
  <si>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</si>
  <si>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</si>
  <si>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</si>
  <si>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</si>
  <si>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</si>
  <si>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</si>
  <si>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</si>
  <si>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</si>
  <si>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</si>
  <si>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</si>
  <si>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</si>
  <si>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</si>
  <si>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</si>
  <si>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</si>
  <si>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</si>
  <si>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</si>
  <si>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</si>
  <si>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</si>
  <si>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</si>
  <si>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</si>
  <si>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</si>
  <si>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</si>
  <si>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</si>
  <si>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</si>
  <si>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</si>
  <si>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</si>
  <si>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</si>
  <si>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</si>
  <si>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</si>
  <si>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</si>
  <si>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</si>
  <si>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</si>
  <si>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</si>
  <si>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</si>
  <si>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</si>
  <si>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</si>
  <si>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</si>
  <si>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</si>
  <si>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</si>
  <si>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</si>
  <si>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</si>
  <si>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</si>
  <si>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</si>
  <si>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</si>
  <si>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</si>
  <si>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</si>
  <si>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</si>
  <si>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</si>
  <si>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</si>
  <si>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</si>
  <si>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</si>
  <si>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</si>
  <si>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</si>
  <si>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</si>
  <si>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</si>
  <si>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</si>
  <si>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</si>
  <si>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</si>
  <si>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</si>
  <si>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</si>
  <si>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</si>
  <si>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</si>
  <si>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</si>
  <si>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</si>
  <si>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</si>
  <si>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</si>
  <si>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</si>
  <si>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</si>
  <si>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</si>
  <si>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</si>
  <si>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</si>
  <si>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</si>
  <si>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</si>
  <si>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</si>
  <si>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</si>
  <si>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</si>
  <si>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</si>
  <si>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</si>
  <si>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</si>
  <si>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</si>
  <si>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</si>
  <si>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</si>
  <si>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</si>
  <si>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</si>
  <si>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</si>
  <si>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</si>
  <si>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</si>
  <si>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</si>
  <si>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</si>
  <si>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</si>
  <si>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</si>
  <si>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</si>
  <si>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</si>
  <si>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</si>
  <si>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</si>
  <si>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</si>
  <si>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</si>
  <si>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</si>
  <si>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</si>
  <si>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</si>
  <si>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</si>
  <si>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</si>
  <si>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</si>
  <si>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</si>
  <si>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</si>
  <si>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</si>
  <si>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</si>
  <si>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</si>
  <si>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</si>
  <si>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</si>
  <si>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</si>
  <si>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</si>
  <si>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</si>
  <si>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</si>
  <si>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</si>
  <si>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</si>
  <si>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</si>
  <si>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</si>
  <si>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</si>
  <si>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</si>
  <si>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</si>
  <si>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</si>
  <si>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</si>
  <si>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</si>
  <si>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</si>
  <si>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</si>
  <si>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</si>
  <si>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</si>
  <si>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</si>
  <si>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</si>
  <si>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</si>
  <si>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</si>
  <si>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</si>
  <si>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</si>
  <si>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</si>
  <si>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</si>
  <si>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</si>
  <si>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</si>
  <si>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</si>
  <si>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</si>
  <si>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</si>
  <si>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</si>
  <si>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</si>
  <si>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</si>
  <si>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</si>
  <si>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</si>
  <si>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</si>
  <si>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</si>
  <si>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</si>
  <si>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</si>
  <si>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</si>
  <si>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</si>
  <si>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</si>
  <si>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</si>
  <si>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</si>
  <si>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</si>
  <si>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</si>
  <si>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</si>
  <si>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</si>
  <si>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</si>
  <si>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</si>
  <si>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</si>
  <si>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</si>
  <si>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</si>
  <si>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</si>
  <si>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</si>
  <si>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</si>
  <si>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</si>
  <si>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</si>
  <si>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</si>
  <si>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</si>
  <si>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</si>
  <si>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</si>
  <si>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</si>
  <si>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</si>
  <si>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</si>
  <si>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</si>
  <si>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</si>
  <si>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</si>
  <si>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</si>
  <si>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</si>
  <si>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</si>
  <si>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</si>
  <si>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</si>
  <si>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</si>
  <si>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</si>
  <si>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</si>
  <si>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</si>
  <si>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</si>
  <si>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</si>
  <si>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</si>
  <si>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</si>
  <si>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</si>
  <si>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</si>
  <si>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</si>
  <si>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</si>
  <si>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</si>
  <si>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</si>
  <si>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</si>
  <si>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</si>
  <si>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</si>
  <si>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</si>
  <si>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</si>
  <si>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</si>
  <si>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</si>
  <si>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</si>
  <si>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</si>
  <si>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</si>
  <si>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</si>
  <si>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</si>
  <si>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</si>
  <si>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</si>
  <si>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</si>
  <si>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</si>
  <si>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</si>
  <si>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</si>
  <si>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</si>
  <si>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</si>
  <si>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</si>
  <si>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</si>
  <si>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</si>
  <si>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</si>
  <si>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</si>
  <si>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</si>
  <si>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</si>
  <si>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</si>
  <si>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</si>
  <si>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</si>
  <si>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</si>
  <si>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</si>
  <si>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</si>
  <si>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</si>
  <si>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</si>
  <si>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</si>
  <si>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</si>
  <si>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</si>
  <si>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</si>
  <si>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</si>
  <si>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</si>
  <si>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</si>
  <si>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</si>
  <si>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</si>
  <si>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</si>
  <si>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</si>
  <si>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</si>
  <si>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</si>
  <si>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</si>
  <si>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</si>
  <si>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</si>
  <si>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</si>
  <si>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</si>
  <si>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</si>
  <si>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</si>
  <si>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</si>
  <si>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</si>
  <si>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</si>
  <si>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</si>
  <si>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</si>
  <si>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</si>
  <si>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</si>
  <si>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</si>
  <si>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</si>
  <si>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</si>
  <si>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</si>
  <si>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</si>
  <si>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</si>
  <si>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</si>
  <si>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</si>
  <si>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</si>
  <si>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</si>
  <si>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</si>
  <si>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</si>
  <si>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</si>
  <si>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</si>
  <si>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</si>
  <si>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</si>
  <si>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</si>
  <si>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</si>
  <si>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</si>
  <si>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</si>
  <si>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</si>
  <si>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</si>
  <si>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</si>
  <si>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</si>
  <si>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</si>
  <si>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</si>
  <si>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</si>
  <si>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</si>
  <si>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</si>
  <si>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</si>
  <si>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</si>
  <si>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</si>
  <si>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</si>
  <si>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</si>
  <si>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</si>
  <si>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</si>
  <si>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</si>
  <si>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</si>
  <si>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</si>
  <si>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</si>
  <si>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</si>
  <si>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</si>
  <si>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</si>
  <si>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</si>
  <si>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</si>
  <si>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</si>
  <si>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</si>
  <si>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</si>
  <si>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</si>
  <si>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</si>
  <si>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</si>
  <si>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</si>
  <si>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</si>
  <si>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</si>
  <si>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</si>
  <si>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</si>
  <si>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</si>
  <si>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</si>
  <si>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</si>
  <si>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</si>
  <si>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</si>
  <si>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</si>
  <si>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</si>
  <si>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</si>
  <si>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</si>
  <si>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</si>
  <si>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</si>
  <si>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</si>
  <si>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</si>
  <si>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</si>
  <si>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</si>
  <si>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</si>
  <si>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</si>
  <si>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</si>
  <si>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</si>
  <si>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</si>
  <si>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</si>
  <si>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</si>
  <si>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</si>
  <si>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</si>
  <si>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</si>
  <si>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</si>
  <si>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</si>
  <si>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</si>
  <si>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</si>
  <si>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</si>
  <si>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</si>
  <si>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</si>
  <si>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</si>
  <si>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</si>
  <si>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</si>
  <si>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</si>
  <si>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</si>
  <si>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</si>
  <si>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</si>
  <si>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</si>
  <si>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</si>
  <si>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</si>
  <si>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</si>
  <si>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</si>
  <si>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</si>
  <si>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</si>
  <si>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</si>
  <si>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</si>
  <si>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</si>
  <si>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</si>
  <si>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</si>
  <si>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</si>
  <si>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</si>
  <si>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</si>
  <si>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</si>
  <si>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</si>
  <si>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</si>
  <si>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</si>
  <si>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</si>
  <si>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</si>
  <si>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</si>
  <si>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</si>
  <si>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</si>
  <si>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</si>
  <si>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</si>
  <si>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</si>
  <si>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</si>
  <si>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</si>
  <si>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</si>
  <si>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</si>
  <si>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</si>
  <si>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</si>
  <si>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</si>
  <si>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</si>
  <si>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</si>
  <si>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</si>
  <si>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</si>
  <si>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</si>
  <si>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</si>
  <si>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</si>
  <si>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</si>
  <si>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</si>
  <si>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</si>
  <si>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</si>
  <si>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</si>
  <si>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</si>
  <si>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</si>
  <si>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</si>
  <si>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</si>
  <si>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</si>
  <si>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</si>
  <si>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</si>
  <si>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</si>
  <si>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</si>
  <si>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</si>
  <si>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</si>
  <si>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</si>
  <si>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</si>
  <si>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</si>
  <si>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</si>
  <si>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</si>
  <si>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</si>
  <si>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</si>
  <si>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</si>
  <si>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</si>
  <si>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</si>
  <si>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</si>
  <si>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</si>
  <si>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</si>
  <si>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</si>
  <si>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</si>
  <si>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</si>
  <si>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</si>
  <si>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</si>
  <si>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</si>
  <si>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</si>
  <si>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</si>
  <si>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</si>
  <si>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</si>
  <si>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</si>
  <si>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</si>
  <si>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</si>
  <si>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</si>
  <si>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</si>
  <si>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</si>
  <si>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</si>
  <si>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</si>
  <si>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</si>
  <si>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</si>
  <si>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</si>
  <si>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</si>
  <si>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</si>
  <si>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</si>
  <si>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</si>
  <si>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</si>
  <si>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</si>
  <si>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</si>
  <si>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</si>
  <si>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</si>
  <si>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</si>
  <si>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</si>
  <si>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</si>
  <si>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</si>
  <si>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</si>
  <si>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</si>
  <si>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</si>
  <si>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</si>
  <si>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</si>
  <si>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</si>
  <si>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</si>
  <si>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</si>
  <si>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</si>
  <si>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</si>
  <si>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</si>
  <si>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</si>
  <si>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</si>
  <si>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</si>
  <si>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</si>
  <si>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</si>
  <si>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</si>
  <si>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</si>
  <si>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</si>
  <si>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</si>
  <si>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</si>
  <si>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</si>
  <si>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</si>
  <si>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</si>
  <si>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</si>
  <si>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</si>
  <si>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</si>
  <si>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</si>
  <si>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</si>
  <si>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</si>
  <si>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</si>
  <si>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</si>
  <si>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</si>
  <si>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</si>
  <si>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</si>
  <si>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</si>
  <si>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</si>
  <si>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</si>
  <si>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</si>
  <si>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</si>
  <si>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</si>
  <si>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</si>
  <si>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</si>
  <si>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</si>
  <si>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</si>
  <si>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</si>
  <si>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</si>
  <si>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</si>
  <si>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</si>
  <si>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</si>
  <si>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</si>
  <si>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</si>
  <si>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</si>
  <si>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</si>
  <si>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</si>
  <si>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</si>
  <si>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</si>
  <si>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</si>
  <si>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</si>
  <si>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</si>
  <si>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</si>
  <si>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</si>
  <si>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</si>
  <si>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</si>
  <si>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</si>
  <si>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</si>
  <si>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</si>
  <si>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</si>
  <si>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</si>
  <si>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</si>
  <si>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</si>
  <si>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</si>
  <si>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</si>
  <si>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</si>
  <si>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</si>
  <si>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</si>
  <si>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</si>
  <si>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</si>
  <si>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</si>
  <si>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</si>
  <si>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</si>
  <si>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</si>
  <si>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</si>
  <si>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</si>
  <si>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</si>
  <si>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</si>
  <si>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</si>
  <si>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</si>
  <si>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</si>
  <si>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</si>
  <si>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</si>
  <si>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</si>
  <si>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</si>
  <si>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</si>
  <si>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</si>
  <si>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</si>
  <si>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</si>
  <si>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</si>
  <si>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</si>
  <si>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</si>
  <si>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</si>
  <si>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</si>
  <si>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</si>
  <si>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</si>
  <si>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</si>
  <si>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</si>
  <si>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</si>
  <si>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</si>
  <si>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</si>
  <si>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</si>
  <si>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</si>
  <si>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</si>
  <si>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</si>
  <si>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</si>
  <si>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</si>
  <si>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</si>
  <si>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</si>
  <si>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</si>
  <si>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</si>
  <si>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</si>
  <si>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</si>
  <si>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</si>
  <si>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</si>
  <si>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</si>
  <si>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</si>
  <si>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</si>
  <si>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</si>
  <si>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</si>
  <si>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</si>
  <si>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</si>
  <si>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</si>
  <si>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</si>
  <si>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</si>
  <si>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</si>
  <si>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</si>
  <si>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</si>
  <si>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</si>
  <si>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</si>
  <si>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</si>
  <si>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</si>
  <si>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</si>
  <si>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</si>
  <si>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</si>
  <si>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</si>
  <si>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</si>
  <si>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</si>
  <si>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</si>
  <si>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</si>
  <si>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</si>
  <si>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</si>
  <si>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</si>
  <si>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</si>
  <si>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</si>
  <si>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</si>
  <si>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</si>
  <si>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</si>
  <si>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</si>
  <si>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</si>
  <si>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</si>
  <si>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</si>
  <si>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</si>
  <si>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</si>
  <si>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</si>
  <si>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</si>
  <si>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</si>
  <si>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</si>
  <si>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</si>
  <si>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</si>
  <si>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</si>
  <si>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</si>
  <si>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</si>
  <si>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</si>
  <si>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</si>
  <si>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</si>
  <si>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</si>
  <si>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</si>
  <si>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</si>
  <si>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</si>
  <si>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</si>
  <si>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</si>
  <si>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</si>
  <si>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</si>
  <si>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</si>
  <si>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</si>
  <si>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</si>
  <si>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</si>
  <si>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</si>
  <si>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</si>
  <si>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</si>
  <si>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</si>
  <si>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</si>
  <si>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</si>
  <si>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</si>
  <si>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</si>
  <si>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</si>
  <si>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</si>
  <si>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</si>
  <si>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</si>
  <si>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</si>
  <si>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</si>
  <si>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</si>
  <si>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</si>
  <si>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</si>
  <si>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</si>
  <si>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</si>
  <si>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</si>
  <si>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</si>
  <si>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</si>
  <si>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</si>
  <si>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</si>
  <si>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</si>
  <si>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</si>
  <si>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</si>
  <si>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</si>
  <si>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</si>
  <si>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</si>
  <si>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</si>
  <si>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</si>
  <si>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</si>
  <si>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</si>
  <si>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</si>
  <si>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</si>
  <si>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</si>
  <si>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</si>
  <si>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</si>
  <si>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</si>
  <si>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</si>
  <si>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</si>
  <si>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</si>
  <si>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</si>
  <si>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</si>
  <si>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</si>
  <si>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</si>
  <si>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</si>
  <si>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</si>
  <si>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</si>
  <si>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</si>
  <si>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</si>
  <si>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</si>
  <si>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</si>
  <si>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</si>
  <si>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</si>
  <si>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</si>
  <si>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</si>
  <si>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</si>
  <si>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</si>
  <si>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</si>
  <si>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</si>
  <si>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</si>
  <si>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</si>
  <si>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</si>
  <si>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</si>
  <si>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</si>
  <si>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</si>
  <si>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</si>
  <si>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</si>
  <si>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</si>
  <si>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</si>
  <si>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</si>
  <si>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</si>
  <si>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</si>
  <si>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</si>
  <si>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</si>
  <si>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</si>
  <si>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</si>
  <si>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</si>
  <si>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</si>
  <si>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</si>
  <si>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</si>
  <si>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</si>
  <si>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</si>
  <si>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</si>
  <si>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</si>
  <si>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</si>
  <si>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</si>
  <si>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</si>
  <si>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</si>
  <si>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</si>
  <si>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</si>
  <si>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</si>
  <si>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</si>
  <si>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</si>
  <si>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</si>
  <si>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</si>
  <si>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</si>
  <si>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</si>
  <si>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</si>
  <si>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</si>
  <si>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</si>
  <si>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</si>
  <si>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</si>
  <si>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</si>
  <si>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</si>
  <si>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</si>
  <si>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</si>
  <si>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</si>
  <si>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</si>
  <si>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</si>
  <si>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</si>
  <si>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</si>
  <si>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</si>
  <si>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</si>
  <si>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</si>
  <si>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</si>
  <si>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</si>
  <si>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</si>
  <si>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</si>
  <si>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</si>
  <si>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</si>
  <si>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</si>
  <si>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</si>
  <si>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</si>
  <si>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</si>
  <si>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</si>
  <si>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</si>
  <si>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</si>
  <si>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</si>
  <si>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</si>
  <si>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</si>
  <si>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</si>
  <si>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</si>
  <si>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</si>
  <si>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</si>
  <si>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</si>
  <si>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</si>
  <si>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</si>
  <si>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</si>
  <si>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</si>
  <si>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</si>
  <si>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</si>
  <si>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</si>
  <si>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</si>
  <si>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</si>
  <si>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</si>
  <si>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</si>
  <si>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</si>
  <si>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</si>
  <si>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</si>
  <si>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</si>
  <si>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</si>
  <si>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</si>
  <si>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</si>
  <si>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</si>
  <si>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</si>
  <si>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</si>
  <si>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</si>
  <si>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</si>
  <si>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</si>
  <si>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</si>
  <si>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</si>
  <si>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</si>
  <si>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</si>
  <si>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</si>
  <si>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</si>
  <si>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</si>
  <si>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</si>
  <si>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</si>
  <si>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</si>
  <si>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</si>
  <si>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</si>
  <si>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</si>
  <si>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</si>
  <si>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</si>
  <si>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</si>
  <si>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</si>
  <si>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</si>
  <si>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</si>
  <si>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</si>
  <si>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</si>
  <si>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</si>
  <si>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</si>
  <si>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</si>
  <si>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</si>
  <si>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</si>
  <si>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</si>
  <si>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</si>
  <si>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</si>
  <si>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</si>
  <si>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</si>
  <si>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</si>
  <si>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</si>
  <si>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</si>
  <si>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</si>
  <si>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</si>
  <si>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</si>
  <si>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</si>
  <si>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</si>
  <si>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</si>
  <si>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</si>
  <si>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</si>
  <si>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</si>
  <si>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</si>
  <si>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</si>
  <si>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</si>
  <si>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</si>
  <si>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</si>
  <si>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</si>
  <si>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</si>
  <si>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</si>
  <si>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</si>
  <si>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</si>
  <si>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</si>
  <si>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</si>
  <si>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</si>
  <si>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</si>
  <si>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</si>
  <si>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</si>
  <si>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</si>
  <si>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</si>
  <si>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</si>
  <si>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</si>
  <si>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</si>
  <si>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</si>
  <si>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</si>
  <si>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</si>
  <si>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</si>
  <si>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</si>
  <si>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</si>
  <si>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</si>
  <si>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</si>
  <si>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</si>
  <si>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</si>
  <si>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</si>
  <si>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</si>
  <si>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</si>
  <si>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</si>
  <si>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</si>
  <si>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</si>
  <si>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</si>
  <si>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</si>
  <si>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</si>
  <si>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</si>
  <si>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</si>
  <si>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</si>
  <si>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</si>
  <si>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</si>
  <si>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</si>
  <si>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</si>
  <si>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</si>
  <si>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</si>
  <si>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</si>
  <si>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</si>
  <si>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</si>
  <si>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</si>
  <si>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</si>
  <si>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</si>
  <si>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</si>
  <si>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</si>
  <si>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</si>
  <si>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</si>
  <si>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</si>
  <si>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</si>
  <si>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</si>
  <si>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</si>
  <si>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</si>
  <si>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</si>
  <si>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</si>
  <si>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</si>
  <si>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</si>
  <si>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</si>
  <si>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</si>
  <si>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</si>
  <si>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</si>
  <si>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</si>
  <si>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</si>
  <si>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</si>
  <si>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</si>
  <si>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</si>
  <si>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</si>
  <si>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</si>
  <si>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</si>
  <si>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</si>
  <si>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</si>
  <si>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</si>
  <si>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</si>
  <si>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</si>
  <si>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</si>
  <si>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</si>
  <si>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</si>
  <si>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</si>
  <si>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</si>
  <si>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</si>
  <si>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</si>
  <si>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</si>
  <si>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</si>
  <si>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</si>
  <si>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</si>
  <si>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</si>
  <si>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</si>
  <si>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</si>
  <si>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</si>
  <si>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</si>
  <si>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</si>
  <si>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</si>
  <si>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</si>
  <si>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</si>
  <si>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</si>
  <si>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</si>
  <si>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</si>
  <si>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</si>
  <si>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</si>
  <si>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</si>
  <si>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</si>
  <si>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</si>
  <si>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</si>
  <si>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</si>
  <si>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</si>
  <si>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</si>
  <si>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</si>
  <si>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</si>
  <si>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</si>
  <si>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</si>
  <si>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</si>
  <si>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</si>
  <si>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</si>
  <si>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</si>
  <si>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</si>
  <si>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</si>
  <si>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</si>
  <si>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</si>
  <si>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</si>
  <si>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</si>
  <si>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</si>
  <si>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</si>
  <si>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</si>
  <si>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</si>
  <si>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</si>
  <si>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</si>
  <si>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</si>
  <si>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</si>
  <si>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</si>
  <si>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</si>
  <si>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</si>
  <si>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</si>
  <si>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</si>
  <si>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</si>
  <si>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</si>
  <si>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</si>
  <si>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</si>
  <si>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</si>
  <si>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</si>
  <si>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</si>
  <si>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</si>
  <si>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</si>
  <si>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</si>
  <si>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</si>
  <si>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</si>
  <si>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</si>
  <si>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</si>
  <si>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</si>
  <si>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</si>
  <si>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</si>
  <si>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</si>
  <si>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</si>
  <si>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</si>
  <si>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</si>
  <si>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</si>
  <si>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</si>
  <si>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</si>
  <si>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</si>
  <si>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</si>
  <si>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</si>
  <si>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</si>
  <si>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</si>
  <si>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</si>
  <si>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</si>
  <si>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</si>
  <si>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</si>
  <si>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</si>
  <si>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</si>
  <si>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</si>
  <si>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</si>
  <si>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</si>
  <si>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</si>
  <si>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</si>
  <si>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</si>
  <si>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</si>
  <si>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</si>
  <si>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</si>
  <si>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</si>
  <si>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</si>
  <si>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</si>
  <si>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</si>
  <si>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</si>
  <si>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</si>
  <si>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</si>
  <si>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</si>
  <si>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</si>
  <si>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</si>
  <si>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</si>
  <si>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</si>
  <si>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</si>
  <si>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</si>
  <si>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</si>
  <si>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</si>
  <si>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</si>
  <si>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</si>
  <si>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</si>
  <si>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</si>
  <si>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</si>
  <si>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</si>
  <si>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</si>
  <si>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</si>
  <si>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</si>
  <si>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</si>
  <si>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</si>
  <si>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</si>
  <si>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</si>
  <si>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</si>
  <si>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</si>
  <si>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</si>
  <si>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</si>
  <si>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</si>
  <si>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</si>
  <si>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</si>
  <si>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</si>
  <si>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</si>
  <si>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</si>
  <si>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</si>
  <si>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</si>
  <si>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</si>
  <si>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</si>
  <si>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</si>
  <si>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</si>
  <si>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</si>
  <si>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</si>
  <si>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</si>
  <si>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</si>
  <si>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</si>
  <si>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</si>
  <si>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</si>
  <si>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</si>
  <si>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</si>
  <si>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</si>
  <si>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</si>
  <si>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</si>
  <si>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</si>
  <si>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</si>
  <si>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</si>
  <si>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</si>
  <si>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</si>
  <si>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</si>
  <si>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</si>
  <si>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</si>
  <si>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</si>
  <si>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</si>
  <si>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</si>
  <si>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</si>
  <si>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</si>
  <si>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</si>
  <si>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</si>
  <si>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</si>
  <si>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</si>
  <si>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</si>
  <si>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</si>
  <si>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</si>
  <si>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</si>
  <si>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</si>
  <si>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</si>
  <si>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</si>
  <si>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</si>
  <si>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</si>
  <si>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</si>
  <si>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</si>
  <si>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</si>
  <si>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</si>
  <si>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</si>
  <si>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</si>
  <si>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</si>
  <si>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</si>
  <si>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</si>
  <si>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</si>
  <si>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</si>
  <si>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</si>
  <si>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</si>
  <si>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</si>
  <si>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</si>
  <si>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</si>
  <si>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</si>
  <si>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</si>
  <si>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</si>
  <si>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</si>
  <si>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</si>
  <si>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</si>
  <si>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</si>
  <si>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</si>
  <si>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</si>
  <si>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</si>
  <si>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</si>
  <si>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</si>
  <si>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</si>
  <si>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</si>
  <si>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</si>
  <si>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</si>
  <si>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</si>
  <si>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</si>
  <si>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</si>
  <si>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</si>
  <si>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</si>
  <si>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</si>
  <si>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</si>
  <si>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</si>
  <si>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</si>
  <si>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</si>
  <si>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</si>
  <si>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</si>
  <si>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</si>
  <si>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</si>
  <si>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</si>
  <si>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</si>
  <si>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</si>
  <si>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</si>
  <si>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</si>
  <si>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</si>
  <si>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</si>
  <si>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</si>
  <si>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</si>
  <si>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</si>
  <si>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</si>
  <si>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</si>
  <si>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</si>
  <si>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</si>
  <si>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</si>
  <si>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</si>
  <si>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</si>
  <si>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</si>
  <si>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</si>
  <si>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</si>
  <si>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</si>
  <si>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</si>
  <si>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</si>
  <si>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</si>
  <si>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</si>
  <si>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</si>
  <si>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</si>
  <si>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</si>
  <si>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</si>
  <si>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</si>
  <si>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</si>
  <si>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</si>
  <si>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</si>
  <si>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</si>
  <si>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</si>
  <si>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</si>
  <si>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</si>
  <si>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</si>
  <si>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</si>
  <si>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</si>
  <si>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</si>
  <si>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</si>
  <si>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</si>
  <si>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</si>
  <si>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</si>
  <si>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</si>
  <si>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</si>
  <si>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</si>
  <si>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</si>
  <si>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</si>
  <si>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</si>
  <si>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</si>
  <si>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</si>
  <si>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</si>
  <si>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</si>
  <si>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</si>
  <si>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</si>
  <si>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</si>
  <si>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</si>
  <si>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</si>
  <si>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</si>
  <si>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</si>
  <si>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</si>
  <si>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</si>
  <si>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</si>
  <si>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</si>
  <si>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</si>
  <si>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</si>
  <si>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</si>
  <si>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</si>
  <si>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</si>
  <si>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</si>
  <si>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</si>
  <si>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</si>
  <si>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</si>
  <si>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</si>
  <si>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</si>
  <si>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</si>
  <si>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</si>
  <si>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</si>
  <si>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</si>
  <si>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</si>
  <si>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</si>
  <si>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</si>
  <si>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</si>
  <si>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</si>
  <si>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</si>
  <si>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</si>
  <si>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</si>
  <si>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</si>
  <si>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</si>
  <si>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</si>
  <si>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</si>
  <si>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</si>
  <si>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</si>
  <si>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</si>
  <si>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</si>
  <si>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</si>
  <si>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</si>
  <si>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</si>
  <si>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</si>
  <si>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</si>
  <si>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</si>
  <si>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</si>
  <si>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</si>
  <si>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</si>
  <si>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</si>
  <si>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</si>
  <si>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</si>
  <si>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</si>
  <si>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</si>
  <si>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</si>
  <si>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</si>
  <si>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</si>
  <si>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</si>
  <si>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</si>
  <si>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</si>
  <si>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</si>
  <si>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</si>
  <si>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</si>
  <si>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</si>
  <si>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</si>
  <si>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</si>
  <si>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</si>
  <si>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</si>
  <si>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</si>
  <si>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</si>
  <si>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</si>
  <si>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</si>
  <si>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</si>
  <si>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</si>
  <si>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</si>
  <si>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</si>
  <si>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</si>
  <si>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</si>
  <si>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</si>
  <si>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</si>
  <si>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</si>
  <si>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</si>
  <si>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</si>
  <si>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</si>
  <si>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</si>
  <si>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</si>
  <si>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</si>
  <si>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</si>
  <si>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</si>
  <si>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</si>
  <si>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</si>
  <si>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</si>
  <si>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</si>
  <si>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</si>
  <si>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</si>
  <si>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</si>
  <si>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</si>
  <si>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</si>
  <si>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</si>
  <si>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</si>
  <si>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</si>
  <si>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</si>
  <si>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</si>
  <si>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</si>
  <si>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</si>
  <si>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</si>
  <si>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</si>
  <si>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</si>
  <si>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</si>
  <si>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</si>
  <si>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</si>
  <si>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</si>
  <si>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</si>
  <si>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</si>
  <si>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</si>
  <si>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</si>
  <si>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</si>
  <si>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</si>
  <si>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</si>
  <si>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</si>
  <si>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</si>
  <si>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</si>
  <si>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</si>
  <si>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</si>
  <si>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</si>
  <si>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</si>
  <si>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</si>
  <si>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</si>
  <si>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</si>
  <si>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</si>
  <si>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</si>
  <si>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</si>
  <si>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</si>
  <si>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</si>
  <si>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</si>
  <si>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</si>
  <si>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</si>
  <si>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</si>
  <si>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</si>
  <si>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</si>
  <si>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</si>
  <si>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</si>
  <si>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</si>
  <si>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</si>
  <si>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</si>
  <si>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</si>
  <si>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</si>
  <si>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</si>
  <si>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</si>
  <si>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</si>
  <si>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</si>
  <si>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</si>
  <si>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</si>
  <si>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</si>
  <si>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</si>
  <si>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</si>
  <si>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</si>
  <si>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</si>
  <si>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</si>
  <si>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</si>
  <si>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</si>
  <si>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</si>
  <si>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</si>
  <si>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</si>
  <si>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</si>
  <si>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</si>
  <si>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</si>
  <si>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</si>
  <si>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</si>
  <si>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</si>
  <si>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</si>
  <si>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</si>
  <si>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</si>
  <si>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</si>
  <si>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</si>
  <si>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</si>
  <si>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</si>
  <si>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</si>
  <si>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</si>
  <si>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</si>
  <si>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</si>
  <si>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</si>
  <si>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</si>
  <si>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</si>
  <si>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</si>
  <si>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</si>
  <si>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</si>
  <si>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</si>
  <si>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</si>
  <si>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</si>
  <si>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</si>
  <si>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</si>
  <si>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</si>
  <si>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</si>
  <si>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</si>
  <si>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</si>
  <si>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</si>
  <si>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</si>
  <si>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</si>
  <si>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</si>
  <si>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</si>
  <si>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</si>
  <si>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</si>
  <si>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</si>
  <si>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</si>
  <si>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</si>
  <si>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</si>
  <si>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</si>
  <si>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</si>
  <si>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</si>
  <si>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</si>
  <si>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</si>
  <si>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</si>
  <si>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</si>
  <si>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</si>
  <si>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</si>
  <si>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</si>
  <si>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</si>
  <si>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</si>
  <si>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</si>
  <si>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</si>
  <si>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</si>
  <si>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</si>
  <si>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</si>
  <si>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</si>
  <si>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</si>
  <si>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</si>
  <si>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</si>
  <si>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</si>
  <si>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</si>
  <si>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</si>
  <si>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</si>
  <si>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</si>
  <si>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</si>
  <si>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</si>
  <si>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</si>
  <si>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</si>
  <si>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</si>
  <si>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</si>
  <si>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</si>
  <si>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</si>
  <si>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</si>
  <si>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</si>
  <si>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</si>
  <si>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</si>
  <si>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</si>
  <si>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</si>
  <si>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</si>
  <si>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</si>
  <si>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</si>
  <si>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</si>
  <si>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</si>
  <si>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</si>
  <si>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</si>
  <si>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</si>
  <si>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</si>
  <si>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</si>
  <si>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</si>
  <si>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</si>
  <si>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</si>
  <si>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</si>
  <si>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</si>
  <si>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</si>
  <si>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</si>
  <si>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</si>
  <si>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</si>
  <si>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</si>
  <si>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</si>
  <si>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</si>
  <si>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</si>
  <si>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</si>
  <si>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</si>
  <si>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</si>
  <si>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</si>
  <si>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</si>
  <si>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</si>
  <si>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</si>
  <si>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</si>
  <si>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</si>
  <si>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</si>
  <si>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</si>
  <si>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</si>
  <si>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</si>
  <si>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</si>
  <si>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</si>
  <si>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</si>
  <si>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</si>
  <si>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</si>
  <si>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</si>
  <si>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</si>
  <si>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</si>
  <si>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</si>
  <si>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</si>
  <si>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</si>
  <si>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</si>
  <si>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</si>
  <si>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</si>
  <si>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</si>
  <si>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</si>
  <si>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</si>
  <si>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</si>
  <si>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</si>
  <si>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</si>
  <si>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</si>
  <si>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</si>
  <si>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</si>
  <si>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</si>
  <si>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</si>
  <si>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</si>
  <si>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</si>
  <si>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</si>
  <si>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</si>
  <si>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</si>
  <si>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</si>
  <si>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</si>
  <si>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</si>
  <si>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</si>
  <si>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</si>
  <si>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</si>
  <si>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</si>
  <si>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</si>
  <si>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</si>
  <si>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</si>
  <si>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</si>
  <si>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</si>
  <si>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</si>
  <si>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</si>
  <si>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</si>
  <si>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</si>
  <si>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</si>
  <si>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</si>
  <si>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</si>
  <si>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</si>
  <si>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</si>
  <si>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</si>
  <si>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</si>
  <si>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</si>
  <si>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</si>
  <si>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</si>
  <si>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</si>
  <si>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</si>
  <si>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</si>
  <si>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</si>
  <si>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</si>
  <si>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</si>
  <si>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</si>
  <si>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</si>
  <si>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</si>
  <si>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</si>
  <si>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</si>
  <si>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</si>
  <si>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</si>
  <si>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</si>
  <si>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</si>
  <si>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</si>
  <si>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</si>
  <si>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</si>
  <si>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</si>
  <si>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</si>
  <si>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</si>
  <si>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</si>
  <si>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</si>
  <si>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</si>
  <si>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</si>
  <si>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</si>
  <si>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</si>
  <si>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</si>
  <si>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</si>
  <si>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</si>
  <si>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</si>
  <si>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</si>
  <si>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</si>
  <si>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</si>
  <si>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</si>
  <si>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</si>
  <si>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</si>
  <si>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</si>
  <si>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</si>
  <si>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</si>
  <si>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</si>
  <si>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</si>
  <si>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</si>
  <si>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</si>
  <si>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</si>
  <si>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</si>
  <si>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</si>
  <si>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</si>
  <si>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</si>
  <si>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</si>
  <si>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</si>
  <si>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</si>
  <si>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</si>
  <si>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</si>
  <si>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</si>
  <si>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</si>
  <si>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</si>
  <si>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</si>
  <si>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</si>
  <si>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</si>
  <si>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</si>
  <si>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</si>
  <si>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</si>
  <si>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</si>
  <si>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</si>
  <si>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</si>
  <si>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</si>
  <si>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</si>
  <si>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</si>
  <si>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</si>
  <si>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</si>
  <si>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</si>
  <si>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</si>
  <si>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</si>
  <si>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</si>
  <si>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</si>
  <si>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</si>
  <si>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</si>
  <si>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</si>
  <si>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</si>
  <si>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</si>
  <si>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</si>
  <si>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</si>
  <si>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</si>
  <si>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</si>
  <si>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</si>
  <si>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</si>
  <si>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</si>
  <si>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</si>
  <si>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</si>
  <si>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</si>
  <si>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</si>
  <si>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</si>
  <si>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</si>
  <si>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</si>
  <si>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</si>
  <si>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</si>
  <si>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</si>
  <si>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</si>
  <si>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</si>
  <si>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</si>
  <si>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</si>
  <si>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</si>
  <si>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</si>
  <si>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</si>
  <si>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</si>
  <si>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</si>
  <si>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</si>
  <si>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</si>
  <si>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</si>
  <si>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</si>
  <si>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</si>
  <si>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</si>
  <si>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</si>
  <si>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</si>
  <si>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</si>
  <si>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</si>
  <si>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</si>
  <si>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</si>
  <si>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</si>
  <si>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</si>
  <si>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</si>
  <si>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</si>
  <si>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</si>
  <si>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</si>
  <si>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</si>
  <si>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</si>
  <si>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</si>
  <si>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</si>
  <si>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</si>
  <si>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</si>
  <si>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</si>
  <si>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</si>
  <si>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</si>
  <si>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</si>
  <si>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</si>
  <si>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</si>
  <si>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</si>
  <si>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</si>
  <si>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</si>
  <si>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</si>
  <si>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</si>
  <si>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</si>
  <si>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</si>
  <si>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</si>
  <si>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</si>
  <si>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</si>
  <si>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</si>
  <si>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</si>
  <si>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</si>
  <si>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</si>
  <si>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</si>
  <si>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</si>
  <si>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</si>
  <si>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</si>
  <si>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</si>
  <si>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</si>
  <si>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</si>
  <si>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</si>
  <si>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</si>
  <si>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</si>
  <si>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</si>
  <si>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</si>
  <si>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</si>
  <si>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</si>
  <si>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</si>
  <si>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</si>
  <si>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</si>
  <si>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</si>
  <si>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</si>
  <si>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</si>
  <si>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</si>
  <si>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</si>
  <si>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</si>
  <si>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</si>
  <si>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</si>
  <si>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</si>
  <si>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</si>
  <si>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</si>
  <si>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</si>
  <si>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</si>
  <si>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</si>
  <si>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</si>
  <si>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</si>
  <si>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</si>
  <si>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</si>
  <si>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</si>
  <si>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</si>
  <si>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</si>
  <si>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</si>
  <si>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</si>
  <si>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</si>
  <si>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</si>
  <si>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</si>
  <si>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</si>
  <si>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</si>
  <si>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</si>
  <si>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</si>
  <si>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</si>
  <si>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</si>
  <si>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</si>
  <si>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</si>
  <si>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</si>
  <si>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</si>
  <si>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</si>
  <si>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</si>
  <si>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</si>
  <si>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</si>
  <si>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</si>
  <si>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</si>
  <si>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</si>
  <si>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</si>
  <si>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</si>
  <si>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</si>
  <si>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</si>
  <si>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</si>
  <si>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</si>
  <si>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</si>
  <si>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</si>
  <si>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</si>
  <si>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</si>
  <si>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</si>
  <si>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</si>
  <si>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</si>
  <si>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</si>
  <si>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</si>
  <si>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</si>
  <si>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</si>
  <si>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</si>
  <si>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</si>
  <si>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</si>
  <si>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</si>
  <si>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</si>
  <si>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</si>
  <si>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</si>
  <si>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</si>
  <si>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</si>
  <si>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</si>
  <si>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</si>
  <si>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</si>
  <si>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</si>
  <si>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</si>
  <si>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</si>
  <si>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</si>
  <si>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</si>
  <si>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</si>
  <si>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</si>
  <si>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</si>
  <si>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</si>
  <si>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</si>
  <si>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</si>
  <si>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</si>
  <si>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</si>
  <si>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</si>
  <si>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</si>
  <si>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</si>
  <si>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</si>
  <si>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</si>
  <si>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</si>
  <si>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</si>
  <si>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</si>
  <si>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</si>
  <si>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</si>
  <si>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</si>
  <si>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</si>
  <si>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</si>
  <si>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</si>
  <si>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</si>
  <si>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</si>
  <si>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</si>
  <si>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</si>
  <si>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</si>
  <si>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</si>
  <si>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</si>
  <si>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</si>
  <si>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</si>
  <si>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</si>
  <si>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</si>
  <si>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</si>
  <si>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</si>
  <si>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</si>
  <si>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</si>
  <si>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</si>
  <si>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</si>
  <si>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</si>
  <si>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</si>
  <si>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</si>
  <si>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</si>
  <si>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</si>
  <si>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</si>
  <si>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</si>
  <si>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</si>
  <si>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</si>
  <si>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</si>
  <si>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</si>
  <si>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</si>
  <si>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</si>
  <si>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</si>
  <si>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</si>
  <si>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</si>
  <si>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</si>
  <si>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</si>
  <si>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</si>
  <si>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</si>
  <si>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</si>
  <si>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</si>
  <si>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</si>
  <si>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</si>
  <si>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</si>
  <si>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</si>
  <si>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</si>
  <si>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</si>
  <si>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</si>
  <si>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</si>
  <si>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</si>
  <si>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</si>
  <si>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</si>
  <si>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</si>
  <si>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</si>
  <si>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</si>
  <si>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</si>
  <si>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</si>
  <si>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</si>
  <si>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</si>
  <si>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</si>
  <si>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</si>
  <si>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</si>
  <si>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</si>
  <si>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</si>
  <si>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</si>
  <si>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</si>
  <si>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</si>
  <si>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</si>
  <si>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</si>
  <si>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</si>
  <si>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</si>
  <si>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</si>
  <si>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</si>
  <si>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</si>
  <si>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</si>
  <si>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</si>
  <si>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</si>
  <si>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</si>
  <si>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</si>
  <si>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</si>
  <si>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</si>
  <si>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</si>
  <si>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</si>
  <si>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</si>
  <si>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</si>
  <si>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</si>
  <si>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</si>
  <si>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</si>
  <si>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</si>
  <si>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</si>
  <si>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</si>
  <si>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</si>
  <si>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</si>
  <si>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</si>
  <si>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</si>
  <si>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</si>
  <si>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</si>
  <si>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</si>
  <si>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</si>
  <si>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</si>
  <si>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</si>
  <si>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</si>
  <si>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</si>
  <si>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</si>
  <si>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</si>
  <si>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</si>
  <si>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</si>
  <si>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</si>
  <si>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</si>
  <si>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</si>
  <si>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</si>
  <si>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</si>
  <si>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</si>
  <si>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</si>
  <si>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</si>
  <si>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</si>
  <si>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</si>
  <si>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</si>
  <si>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</si>
  <si>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</si>
  <si>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</si>
  <si>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</si>
  <si>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</si>
  <si>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</si>
  <si>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</si>
  <si>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</si>
  <si>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</si>
  <si>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</si>
  <si>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</si>
  <si>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</si>
  <si>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</si>
  <si>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</si>
  <si>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</si>
  <si>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</si>
  <si>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</si>
  <si>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</si>
  <si>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</si>
  <si>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</si>
  <si>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</si>
  <si>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</si>
  <si>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</si>
  <si>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</si>
  <si>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</si>
  <si>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</si>
  <si>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</si>
  <si>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</si>
  <si>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</si>
  <si>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</si>
  <si>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</si>
  <si>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</si>
  <si>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</si>
  <si>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</si>
  <si>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</si>
  <si>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</si>
  <si>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</si>
  <si>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</si>
  <si>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</si>
  <si>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</si>
  <si>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</si>
  <si>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</si>
  <si>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</si>
  <si>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</si>
  <si>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</si>
  <si>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</si>
  <si>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</si>
  <si>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</si>
  <si>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</si>
  <si>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</si>
  <si>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</si>
  <si>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</si>
  <si>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</si>
  <si>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</si>
  <si>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</si>
  <si>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</si>
  <si>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</si>
  <si>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</si>
  <si>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</si>
  <si>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</si>
  <si>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</si>
  <si>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</si>
  <si>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</si>
  <si>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</si>
  <si>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</si>
  <si>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</si>
  <si>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</si>
  <si>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</si>
  <si>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</si>
  <si>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</si>
  <si>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</si>
  <si>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</si>
  <si>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</si>
  <si>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</si>
  <si>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</si>
  <si>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</si>
  <si>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</si>
  <si>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</si>
  <si>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</si>
  <si>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</si>
  <si>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</si>
  <si>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</si>
  <si>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</si>
  <si>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</si>
  <si>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</si>
  <si>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</si>
  <si>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</si>
  <si>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</si>
  <si>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</si>
  <si>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</si>
  <si>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</si>
  <si>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</si>
  <si>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</si>
  <si>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</si>
  <si>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</si>
  <si>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</si>
  <si>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</si>
  <si>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</si>
  <si>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</si>
  <si>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</si>
  <si>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</si>
  <si>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</si>
  <si>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</si>
  <si>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</si>
  <si>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</si>
  <si>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</si>
  <si>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</si>
  <si>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</si>
  <si>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</si>
  <si>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</si>
  <si>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</si>
  <si>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</si>
  <si>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</si>
  <si>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</si>
  <si>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</si>
  <si>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</si>
  <si>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</si>
  <si>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</si>
  <si>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</si>
  <si>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</si>
  <si>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</si>
  <si>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</si>
  <si>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</si>
  <si>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</si>
  <si>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</si>
  <si>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</si>
  <si>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</si>
  <si>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</si>
  <si>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</si>
  <si>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</si>
  <si>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</si>
  <si>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</si>
  <si>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</si>
  <si>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</si>
  <si>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</si>
  <si>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</si>
  <si>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</si>
  <si>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</si>
  <si>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</si>
  <si>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</si>
  <si>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</si>
  <si>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</si>
  <si>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</si>
  <si>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</si>
  <si>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</si>
  <si>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</si>
  <si>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</si>
  <si>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</si>
  <si>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</si>
  <si>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</si>
  <si>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</si>
  <si>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</si>
  <si>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</si>
  <si>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</si>
  <si>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</si>
  <si>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</si>
  <si>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</si>
  <si>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</si>
  <si>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</si>
  <si>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</si>
  <si>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</si>
  <si>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</si>
  <si>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</si>
  <si>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</si>
  <si>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</si>
  <si>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</si>
  <si>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</si>
  <si>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</si>
  <si>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</si>
  <si>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</si>
  <si>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</si>
  <si>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</si>
  <si>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</si>
  <si>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</si>
  <si>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</si>
  <si>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</si>
  <si>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</si>
  <si>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</si>
  <si>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</si>
  <si>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</si>
  <si>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</si>
  <si>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</si>
  <si>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</si>
  <si>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</si>
  <si>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</si>
  <si>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</si>
  <si>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</si>
  <si>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</si>
  <si>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</si>
  <si>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</si>
  <si>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</si>
  <si>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</si>
  <si>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</si>
  <si>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</si>
  <si>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</si>
  <si>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</si>
  <si>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</si>
  <si>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</si>
  <si>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</si>
  <si>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</si>
  <si>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</si>
  <si>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</si>
  <si>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</si>
  <si>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</si>
  <si>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</si>
  <si>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</si>
  <si>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</si>
  <si>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</si>
  <si>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</si>
  <si>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</si>
  <si>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</si>
  <si>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</si>
  <si>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</si>
  <si>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</si>
  <si>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</si>
  <si>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</si>
  <si>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</si>
  <si>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</si>
  <si>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</si>
  <si>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</si>
  <si>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</si>
  <si>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</si>
  <si>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</si>
  <si>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</si>
  <si>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</si>
  <si>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</si>
  <si>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</si>
  <si>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</si>
  <si>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</si>
  <si>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</si>
  <si>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</si>
  <si>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</si>
  <si>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</si>
  <si>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</si>
  <si>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</si>
  <si>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</si>
  <si>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</si>
  <si>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</si>
  <si>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</si>
  <si>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</si>
  <si>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</si>
  <si>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</si>
  <si>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</si>
  <si>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</si>
  <si>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</si>
  <si>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</si>
  <si>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</si>
  <si>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</si>
  <si>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</si>
  <si>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</si>
  <si>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</si>
  <si>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</si>
  <si>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</si>
  <si>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</si>
  <si>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</si>
  <si>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</si>
  <si>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</si>
  <si>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</si>
  <si>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</si>
  <si>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</si>
  <si>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</si>
  <si>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</si>
  <si>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</si>
  <si>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</si>
  <si>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</si>
  <si>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</si>
  <si>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</si>
  <si>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</si>
  <si>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</si>
  <si>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</si>
  <si>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</si>
  <si>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</si>
  <si>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</si>
  <si>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</si>
  <si>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</si>
  <si>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</si>
  <si>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</si>
  <si>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</si>
  <si>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</si>
  <si>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</si>
  <si>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</si>
  <si>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</si>
  <si>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</si>
  <si>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</si>
  <si>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</si>
  <si>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</si>
  <si>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</si>
  <si>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</si>
  <si>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</si>
  <si>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</si>
  <si>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</si>
  <si>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</si>
  <si>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</si>
  <si>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</si>
  <si>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</si>
  <si>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</si>
  <si>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</si>
  <si>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</si>
  <si>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</si>
  <si>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</si>
  <si>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</si>
  <si>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</si>
  <si>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</si>
  <si>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</si>
  <si>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</si>
  <si>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</si>
  <si>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</si>
  <si>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</si>
  <si>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</si>
  <si>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</si>
  <si>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</si>
  <si>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</si>
  <si>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</si>
  <si>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</si>
  <si>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</si>
  <si>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</si>
  <si>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</si>
  <si>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</si>
  <si>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</si>
  <si>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</si>
  <si>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</si>
  <si>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</si>
  <si>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</si>
  <si>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</si>
  <si>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</si>
  <si>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</si>
  <si>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</si>
  <si>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</si>
  <si>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</si>
  <si>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</si>
  <si>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</si>
  <si>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</si>
  <si>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</si>
  <si>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</si>
  <si>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</si>
  <si>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</si>
  <si>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</si>
  <si>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</si>
  <si>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</si>
  <si>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</si>
  <si>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</si>
  <si>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</si>
  <si>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</si>
  <si>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</si>
  <si>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</si>
  <si>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</si>
  <si>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</si>
  <si>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</si>
  <si>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</si>
  <si>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</si>
  <si>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</si>
  <si>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</si>
  <si>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</si>
  <si>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</si>
  <si>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</si>
  <si>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</si>
  <si>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</si>
  <si>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</si>
  <si>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</si>
  <si>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</si>
  <si>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</si>
  <si>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</si>
  <si>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</si>
  <si>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</si>
  <si>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</si>
  <si>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</si>
  <si>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</si>
  <si>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</si>
  <si>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</si>
  <si>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</si>
  <si>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</si>
  <si>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</si>
  <si>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</si>
  <si>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</si>
  <si>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</si>
  <si>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</si>
  <si>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</si>
  <si>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</si>
  <si>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</si>
  <si>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</si>
  <si>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</si>
  <si>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</si>
  <si>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</si>
  <si>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</si>
  <si>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</si>
  <si>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</si>
  <si>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</si>
  <si>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</si>
  <si>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</si>
  <si>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</si>
  <si>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</si>
  <si>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</si>
  <si>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</si>
  <si>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</si>
  <si>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</si>
  <si>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</si>
  <si>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</si>
  <si>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</si>
  <si>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</si>
  <si>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</si>
  <si>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</si>
  <si>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</si>
  <si>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</si>
  <si>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</si>
  <si>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</si>
  <si>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</si>
  <si>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</si>
  <si>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</si>
  <si>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</si>
  <si>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</si>
  <si>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</si>
  <si>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</si>
  <si>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</si>
  <si>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</si>
  <si>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</si>
  <si>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</si>
  <si>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</si>
  <si>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</si>
  <si>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</si>
  <si>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</si>
  <si>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</si>
  <si>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</si>
  <si>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</si>
  <si>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</si>
  <si>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</si>
  <si>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</si>
  <si>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</si>
  <si>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</si>
  <si>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</si>
  <si>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</si>
  <si>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</si>
  <si>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</si>
  <si>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</si>
  <si>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</si>
  <si>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</si>
  <si>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</si>
  <si>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</si>
  <si>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</si>
  <si>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</si>
  <si>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</si>
  <si>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</si>
  <si>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</si>
  <si>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</si>
  <si>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</si>
  <si>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</si>
  <si>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</si>
  <si>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</si>
  <si>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</si>
  <si>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</si>
  <si>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</si>
  <si>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</si>
  <si>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</si>
  <si>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</si>
  <si>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</si>
  <si>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</si>
  <si>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</si>
  <si>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</si>
  <si>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</si>
  <si>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</si>
  <si>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</si>
  <si>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</si>
  <si>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</si>
  <si>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</si>
  <si>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</si>
  <si>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</si>
  <si>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</si>
  <si>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</si>
  <si>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</si>
  <si>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</si>
  <si>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</si>
  <si>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</si>
  <si>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</si>
  <si>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</si>
  <si>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</si>
  <si>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</si>
  <si>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</si>
  <si>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</si>
  <si>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</si>
  <si>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</si>
  <si>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</si>
  <si>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</si>
  <si>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</si>
  <si>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</si>
  <si>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</si>
  <si>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</si>
  <si>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</si>
  <si>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</si>
  <si>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</si>
  <si>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</si>
  <si>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</si>
  <si>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</si>
  <si>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</si>
  <si>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</si>
  <si>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</si>
  <si>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</si>
  <si>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</si>
  <si>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</si>
  <si>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</si>
  <si>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</si>
  <si>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</si>
  <si>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</si>
  <si>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</si>
  <si>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</si>
  <si>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</si>
  <si>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</si>
  <si>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</si>
  <si>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</si>
  <si>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</si>
  <si>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</si>
  <si>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</si>
  <si>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</si>
  <si>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</si>
  <si>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</si>
  <si>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</si>
  <si>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</si>
  <si>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</si>
  <si>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</si>
  <si>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</si>
  <si>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</si>
  <si>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</si>
  <si>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</si>
  <si>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</si>
  <si>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</si>
  <si>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</si>
  <si>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</si>
  <si>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</si>
  <si>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</si>
  <si>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</si>
  <si>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</si>
  <si>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</si>
  <si>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</si>
  <si>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</si>
  <si>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</si>
  <si>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</si>
  <si>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</si>
  <si>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</si>
  <si>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</si>
  <si>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</si>
  <si>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</si>
  <si>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</si>
  <si>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</si>
  <si>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</si>
  <si>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</si>
  <si>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</si>
  <si>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</si>
  <si>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</si>
  <si>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</si>
  <si>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</si>
  <si>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</si>
  <si>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</si>
  <si>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</si>
  <si>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</si>
  <si>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</si>
  <si>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</si>
  <si>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</si>
  <si>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</si>
  <si>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</si>
  <si>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</si>
  <si>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</si>
  <si>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</si>
  <si>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</si>
  <si>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</si>
  <si>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</si>
  <si>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</si>
  <si>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</si>
  <si>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</si>
  <si>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</si>
  <si>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</si>
  <si>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</si>
  <si>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</si>
  <si>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</si>
  <si>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</si>
  <si>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</si>
  <si>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</si>
  <si>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</si>
  <si>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</si>
  <si>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</si>
  <si>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</si>
  <si>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</si>
  <si>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</si>
  <si>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</si>
  <si>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</si>
  <si>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</si>
  <si>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</si>
  <si>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</si>
  <si>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</si>
  <si>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</si>
  <si>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</si>
  <si>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</si>
  <si>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</si>
  <si>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</si>
  <si>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</si>
  <si>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</si>
  <si>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</si>
  <si>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</si>
  <si>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</si>
  <si>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</si>
  <si>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</si>
  <si>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</si>
  <si>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</si>
  <si>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</si>
  <si>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</si>
  <si>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</si>
  <si>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</si>
  <si>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</si>
  <si>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</si>
  <si>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</si>
  <si>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</si>
  <si>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</si>
  <si>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</si>
  <si>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</si>
  <si>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</si>
  <si>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</si>
  <si>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</si>
  <si>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</si>
  <si>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</si>
  <si>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</si>
  <si>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</si>
  <si>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</si>
  <si>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</si>
  <si>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</si>
  <si>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</si>
  <si>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</si>
  <si>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</si>
  <si>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</si>
  <si>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</si>
  <si>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</si>
  <si>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</si>
  <si>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</si>
  <si>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</si>
  <si>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</si>
  <si>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</si>
  <si>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</si>
  <si>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</si>
  <si>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</si>
  <si>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</si>
  <si>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</si>
  <si>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</si>
  <si>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</si>
  <si>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</si>
  <si>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</si>
  <si>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</si>
  <si>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</si>
  <si>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</si>
  <si>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</si>
  <si>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</si>
  <si>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</si>
  <si>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</si>
  <si>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</si>
  <si>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</si>
  <si>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</si>
  <si>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</si>
  <si>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</si>
  <si>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</si>
  <si>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</si>
  <si>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</si>
  <si>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</si>
  <si>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</si>
  <si>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</si>
  <si>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</si>
  <si>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</si>
  <si>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</si>
  <si>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</si>
  <si>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</si>
  <si>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</si>
  <si>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</si>
  <si>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</si>
  <si>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</si>
  <si>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</si>
  <si>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</si>
  <si>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</si>
  <si>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</si>
  <si>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</si>
  <si>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</si>
  <si>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</si>
  <si>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</si>
  <si>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</si>
  <si>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</si>
  <si>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</si>
  <si>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</si>
  <si>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</si>
  <si>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</si>
  <si>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</si>
  <si>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</si>
  <si>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</si>
  <si>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</si>
  <si>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</si>
  <si>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</si>
  <si>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</si>
  <si>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</si>
  <si>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</si>
  <si>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</si>
  <si>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</si>
  <si>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</si>
  <si>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</si>
  <si>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</si>
  <si>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</si>
  <si>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</si>
  <si>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</si>
  <si>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</si>
  <si>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</si>
  <si>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</si>
  <si>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</si>
  <si>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</si>
  <si>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</si>
  <si>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</si>
  <si>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</si>
  <si>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</si>
  <si>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</si>
  <si>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</si>
  <si>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</si>
  <si>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</si>
  <si>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</si>
  <si>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</si>
  <si>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</si>
  <si>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</si>
  <si>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</si>
  <si>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</si>
  <si>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</si>
  <si>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</si>
  <si>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</si>
  <si>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</si>
  <si>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</si>
  <si>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</si>
  <si>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</si>
  <si>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</si>
  <si>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</si>
  <si>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</si>
  <si>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</si>
  <si>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</si>
  <si>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</si>
  <si>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</si>
  <si>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</si>
  <si>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</si>
  <si>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</si>
  <si>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</si>
  <si>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</si>
  <si>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</si>
  <si>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</si>
  <si>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</si>
  <si>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</si>
  <si>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</si>
  <si>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</si>
  <si>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</si>
  <si>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</si>
  <si>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</si>
  <si>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</si>
  <si>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</si>
  <si>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</si>
  <si>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</si>
  <si>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</si>
  <si>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</si>
  <si>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</si>
  <si>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</si>
  <si>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</si>
  <si>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</si>
  <si>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</si>
  <si>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</si>
  <si>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</si>
  <si>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</si>
  <si>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</si>
  <si>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</si>
  <si>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</si>
  <si>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</si>
  <si>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</si>
  <si>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</si>
  <si>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</si>
  <si>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</si>
  <si>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</si>
  <si>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</si>
  <si>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</si>
  <si>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</si>
  <si>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</si>
  <si>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</si>
  <si>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</si>
  <si>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</si>
  <si>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</si>
  <si>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</si>
  <si>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</si>
  <si>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</si>
  <si>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</si>
  <si>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</si>
  <si>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</si>
  <si>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</si>
  <si>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</si>
  <si>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</si>
  <si>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</si>
  <si>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</si>
  <si>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</si>
  <si>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</si>
  <si>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</si>
  <si>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</si>
  <si>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</si>
  <si>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</si>
  <si>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</si>
  <si>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</si>
  <si>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</si>
  <si>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</si>
  <si>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</si>
  <si>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</si>
  <si>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</si>
  <si>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</si>
  <si>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</si>
  <si>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</si>
  <si>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</si>
  <si>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</si>
  <si>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</si>
  <si>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</si>
  <si>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</si>
  <si>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</si>
  <si>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</si>
  <si>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</si>
  <si>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</si>
  <si>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</si>
  <si>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</si>
  <si>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</si>
  <si>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</si>
  <si>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</si>
  <si>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</si>
  <si>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</si>
  <si>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</si>
  <si>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</si>
  <si>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</si>
  <si>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</si>
  <si>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</si>
  <si>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</si>
  <si>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</si>
  <si>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</si>
  <si>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</si>
  <si>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</si>
  <si>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</si>
  <si>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</si>
  <si>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</si>
  <si>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</si>
  <si>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</si>
  <si>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</si>
  <si>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</si>
  <si>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</si>
  <si>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</si>
  <si>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</si>
  <si>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</si>
  <si>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</si>
  <si>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</si>
  <si>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</si>
  <si>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</si>
  <si>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</si>
  <si>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</si>
  <si>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</si>
  <si>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</si>
  <si>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</si>
  <si>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</si>
  <si>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</si>
  <si>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</si>
  <si>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</si>
  <si>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</si>
  <si>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</si>
  <si>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</si>
  <si>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</si>
  <si>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</si>
  <si>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</si>
  <si>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</si>
  <si>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</si>
  <si>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</si>
  <si>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</si>
  <si>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</si>
  <si>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</si>
  <si>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</si>
  <si>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</si>
  <si>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</si>
  <si>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</si>
  <si>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</si>
  <si>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</si>
  <si>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</si>
  <si>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</si>
  <si>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</si>
  <si>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</si>
  <si>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</si>
  <si>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</si>
  <si>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</si>
  <si>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</si>
  <si>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</si>
  <si>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</si>
  <si>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</si>
  <si>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</si>
  <si>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</si>
  <si>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</si>
  <si>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</si>
  <si>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</si>
  <si>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</si>
  <si>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</si>
  <si>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</si>
  <si>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</si>
  <si>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</si>
  <si>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</si>
  <si>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</si>
  <si>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</si>
  <si>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</si>
  <si>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</si>
  <si>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</si>
  <si>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</si>
  <si>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</si>
  <si>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</si>
  <si>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</si>
  <si>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</si>
  <si>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</si>
  <si>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</si>
  <si>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</si>
  <si>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</si>
  <si>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</si>
  <si>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</si>
  <si>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</si>
  <si>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</si>
  <si>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</si>
  <si>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</si>
  <si>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</si>
  <si>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</si>
  <si>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</si>
  <si>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</si>
  <si>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</si>
  <si>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</si>
  <si>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</si>
  <si>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</si>
  <si>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</si>
  <si>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</si>
  <si>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</si>
  <si>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</si>
  <si>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</si>
  <si>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</si>
  <si>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</si>
  <si>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</si>
  <si>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</si>
  <si>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</si>
  <si>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</si>
  <si>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</si>
  <si>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</si>
  <si>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</si>
  <si>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</si>
  <si>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</si>
  <si>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</si>
  <si>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</si>
  <si>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</si>
  <si>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</si>
  <si>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</si>
  <si>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</si>
  <si>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</si>
  <si>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</si>
  <si>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</si>
  <si>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</si>
  <si>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</si>
  <si>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</si>
  <si>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</si>
  <si>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</si>
  <si>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</si>
  <si>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</si>
  <si>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</si>
  <si>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</si>
  <si>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</si>
  <si>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</si>
  <si>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</si>
  <si>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</si>
  <si>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</si>
  <si>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</si>
  <si>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</si>
  <si>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</si>
  <si>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</si>
  <si>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</si>
  <si>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</si>
  <si>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</si>
  <si>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</si>
  <si>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</si>
  <si>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</si>
  <si>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</si>
  <si>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</si>
  <si>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</si>
  <si>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</si>
  <si>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</si>
  <si>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</si>
  <si>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</si>
  <si>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</si>
  <si>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</si>
  <si>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</si>
  <si>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</si>
  <si>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</si>
  <si>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</si>
  <si>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</si>
  <si>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</si>
  <si>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</si>
  <si>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</si>
  <si>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</si>
  <si>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</si>
  <si>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</si>
  <si>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</si>
  <si>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</si>
  <si>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</si>
  <si>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</si>
  <si>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</si>
  <si>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</si>
  <si>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</si>
  <si>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</si>
  <si>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</si>
  <si>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</si>
  <si>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</si>
  <si>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</si>
  <si>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</si>
  <si>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</si>
  <si>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</si>
  <si>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</si>
  <si>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</si>
  <si>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</si>
  <si>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</si>
  <si>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</si>
  <si>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</si>
  <si>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</si>
  <si>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</si>
  <si>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</si>
  <si>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</si>
  <si>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</si>
  <si>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</si>
  <si>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</si>
  <si>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</si>
  <si>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</si>
  <si>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</si>
  <si>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</si>
  <si>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</si>
  <si>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</si>
  <si>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</si>
  <si>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</si>
  <si>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</si>
  <si>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</si>
  <si>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</si>
  <si>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</si>
  <si>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</si>
  <si>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</si>
  <si>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</si>
  <si>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</si>
  <si>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</si>
  <si>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</si>
  <si>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</si>
  <si>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</si>
  <si>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</si>
  <si>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</si>
  <si>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</si>
  <si>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</si>
  <si>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</si>
  <si>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</si>
  <si>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</si>
  <si>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</si>
  <si>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</si>
  <si>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</si>
  <si>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</si>
  <si>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</si>
  <si>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</si>
  <si>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</si>
  <si>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</si>
  <si>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</si>
  <si>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</si>
  <si>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</si>
  <si>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</si>
  <si>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</si>
  <si>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</si>
  <si>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</si>
  <si>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</si>
  <si>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</si>
  <si>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</si>
  <si>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</si>
  <si>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</si>
  <si>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</si>
  <si>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</si>
  <si>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</si>
  <si>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</si>
  <si>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</si>
  <si>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</si>
  <si>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</si>
  <si>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</si>
  <si>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</si>
  <si>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</si>
  <si>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</si>
  <si>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</si>
  <si>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</si>
  <si>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</si>
  <si>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</si>
  <si>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</si>
  <si>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</si>
  <si>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</si>
  <si>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</si>
  <si>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</si>
  <si>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</si>
  <si>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</si>
  <si>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</si>
  <si>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</si>
  <si>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</si>
  <si>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</si>
  <si>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</si>
  <si>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</si>
  <si>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</si>
  <si>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</si>
  <si>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</si>
  <si>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</si>
  <si>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</si>
  <si>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</si>
  <si>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</si>
  <si>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</si>
  <si>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</si>
  <si>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</si>
  <si>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</si>
  <si>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</si>
  <si>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</si>
  <si>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</si>
  <si>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</si>
  <si>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</si>
  <si>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</si>
  <si>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</si>
  <si>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</si>
  <si>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</si>
  <si>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</si>
  <si>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</si>
  <si>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</si>
  <si>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</si>
  <si>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</si>
  <si>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</si>
  <si>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</si>
  <si>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</si>
  <si>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</si>
  <si>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</si>
  <si>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</si>
  <si>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</si>
  <si>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</si>
  <si>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</si>
  <si>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</si>
  <si>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</si>
  <si>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</si>
  <si>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</si>
  <si>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</si>
  <si>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</si>
  <si>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</si>
  <si>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</si>
  <si>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</si>
  <si>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</si>
  <si>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</si>
  <si>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</si>
  <si>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</si>
  <si>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</si>
  <si>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</si>
  <si>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</si>
  <si>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</si>
  <si>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</si>
  <si>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</si>
  <si>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</si>
  <si>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</si>
  <si>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</si>
  <si>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</si>
  <si>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</si>
  <si>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</si>
  <si>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</si>
  <si>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</si>
  <si>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</si>
  <si>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</si>
  <si>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</si>
  <si>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</si>
  <si>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</si>
  <si>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</si>
  <si>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</si>
  <si>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</si>
  <si>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</si>
  <si>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</si>
  <si>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</si>
  <si>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</si>
  <si>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</si>
  <si>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</si>
  <si>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</si>
  <si>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</si>
  <si>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</si>
  <si>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</si>
  <si>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</si>
  <si>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</si>
  <si>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</si>
  <si>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</si>
  <si>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</si>
  <si>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</si>
  <si>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</si>
  <si>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</si>
  <si>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</si>
  <si>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</si>
  <si>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</si>
  <si>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</si>
  <si>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</si>
  <si>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</si>
  <si>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</si>
  <si>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</si>
  <si>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</si>
  <si>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</si>
  <si>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</si>
  <si>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</si>
  <si>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</si>
  <si>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</si>
  <si>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</si>
  <si>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</si>
  <si>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</si>
  <si>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</si>
  <si>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</si>
  <si>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</si>
  <si>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</si>
  <si>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</si>
  <si>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</si>
  <si>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</si>
  <si>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</si>
  <si>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</si>
  <si>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</si>
  <si>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</si>
  <si>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</si>
  <si>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</si>
  <si>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</si>
  <si>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</si>
  <si>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</si>
  <si>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</si>
  <si>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</si>
  <si>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</si>
  <si>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</si>
  <si>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</si>
  <si>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</si>
  <si>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</si>
  <si>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</si>
  <si>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</si>
  <si>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</si>
  <si>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</si>
  <si>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</si>
  <si>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</si>
  <si>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</si>
  <si>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</si>
  <si>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</si>
  <si>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</si>
  <si>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</si>
  <si>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</si>
  <si>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</si>
  <si>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</si>
  <si>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</si>
  <si>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</si>
  <si>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</si>
  <si>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</si>
  <si>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</si>
  <si>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</si>
  <si>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</si>
  <si>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</si>
  <si>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</si>
  <si>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</si>
  <si>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</si>
  <si>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</si>
  <si>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</si>
  <si>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</si>
  <si>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</si>
  <si>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</si>
  <si>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</si>
  <si>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</si>
  <si>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</si>
  <si>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</si>
  <si>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</si>
  <si>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</si>
  <si>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</si>
  <si>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</si>
  <si>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</si>
  <si>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</si>
  <si>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</si>
  <si>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</si>
  <si>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</si>
  <si>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</si>
  <si>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</si>
  <si>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</si>
  <si>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</si>
  <si>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</si>
  <si>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</si>
  <si>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</si>
  <si>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</si>
  <si>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</si>
  <si>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</si>
  <si>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</si>
  <si>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</si>
  <si>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</si>
  <si>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</si>
  <si>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</si>
  <si>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</si>
  <si>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</si>
  <si>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</si>
  <si>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</si>
  <si>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</si>
  <si>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</si>
  <si>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</si>
  <si>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</si>
  <si>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</si>
  <si>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</si>
  <si>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</si>
  <si>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</si>
  <si>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</si>
  <si>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</si>
  <si>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</si>
  <si>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</si>
  <si>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</si>
  <si>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</si>
  <si>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</si>
  <si>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</si>
  <si>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</si>
  <si>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</si>
  <si>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</si>
  <si>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</si>
  <si>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</si>
  <si>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</si>
  <si>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</si>
  <si>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</si>
  <si>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</si>
  <si>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</si>
  <si>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</si>
  <si>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</si>
  <si>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</si>
  <si>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</si>
  <si>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</si>
  <si>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</si>
  <si>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</si>
  <si>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</si>
  <si>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</si>
  <si>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</si>
  <si>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</si>
  <si>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</si>
  <si>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</si>
  <si>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</si>
  <si>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</si>
  <si>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</si>
  <si>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</si>
  <si>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</si>
  <si>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</si>
  <si>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</si>
  <si>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</si>
  <si>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</si>
  <si>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</si>
  <si>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</si>
  <si>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</si>
  <si>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</si>
  <si>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</si>
  <si>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</si>
  <si>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</si>
  <si>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</si>
  <si>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</si>
  <si>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</si>
  <si>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</si>
  <si>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</si>
  <si>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</si>
  <si>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</si>
  <si>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</si>
  <si>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</si>
  <si>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</si>
  <si>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</si>
  <si>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</si>
  <si>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</si>
  <si>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</si>
  <si>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</si>
  <si>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</si>
  <si>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</si>
  <si>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</si>
  <si>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</si>
  <si>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</si>
  <si>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</si>
  <si>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</si>
  <si>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</si>
  <si>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</si>
  <si>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</si>
  <si>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</si>
  <si>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</si>
  <si>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</si>
  <si>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</si>
  <si>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</si>
  <si>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</si>
  <si>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</si>
  <si>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</si>
  <si>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</si>
  <si>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</si>
  <si>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</si>
  <si>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</si>
  <si>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</si>
  <si>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</si>
  <si>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</si>
  <si>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</si>
  <si>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</si>
  <si>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</si>
  <si>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</si>
  <si>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</si>
  <si>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</si>
  <si>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</si>
  <si>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</si>
  <si>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</si>
  <si>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</si>
  <si>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</si>
  <si>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</si>
  <si>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</si>
  <si>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</si>
  <si>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</si>
  <si>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</si>
  <si>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</si>
  <si>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</si>
  <si>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</si>
  <si>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</si>
  <si>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</si>
  <si>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</si>
  <si>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</si>
  <si>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</si>
  <si>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</si>
  <si>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</si>
  <si>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</si>
  <si>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</si>
  <si>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</si>
  <si>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</si>
  <si>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</si>
  <si>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</si>
  <si>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</si>
  <si>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</si>
  <si>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</si>
  <si>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</si>
  <si>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</si>
  <si>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</si>
  <si>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</si>
  <si>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</si>
  <si>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</si>
  <si>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</si>
  <si>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</si>
  <si>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</si>
  <si>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</si>
  <si>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</si>
  <si>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</si>
  <si>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</si>
  <si>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</si>
  <si>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</si>
  <si>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</si>
  <si>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</si>
  <si>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</si>
  <si>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</si>
  <si>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</si>
  <si>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</si>
  <si>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</si>
  <si>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</si>
  <si>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</si>
  <si>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</si>
  <si>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</si>
  <si>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</si>
  <si>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</si>
  <si>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</si>
  <si>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</si>
  <si>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</si>
  <si>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</si>
  <si>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</si>
  <si>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</si>
  <si>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</si>
  <si>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</si>
  <si>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</si>
  <si>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</si>
  <si>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</si>
  <si>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</si>
  <si>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</si>
  <si>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</si>
  <si>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</si>
  <si>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</si>
  <si>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</si>
  <si>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</si>
  <si>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</si>
  <si>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</si>
  <si>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</si>
  <si>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</si>
  <si>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</si>
  <si>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</si>
  <si>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</si>
  <si>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</si>
  <si>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</si>
  <si>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</si>
  <si>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</si>
  <si>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</si>
  <si>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</si>
  <si>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</si>
  <si>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</si>
  <si>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</si>
  <si>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</si>
  <si>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</si>
  <si>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</si>
  <si>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</si>
  <si>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</si>
  <si>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</si>
  <si>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</si>
  <si>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</si>
  <si>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</si>
  <si>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</si>
  <si>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</si>
  <si>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</si>
  <si>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</si>
  <si>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</si>
  <si>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</si>
  <si>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</si>
  <si>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</si>
  <si>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</si>
  <si>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</si>
  <si>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</si>
  <si>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</si>
  <si>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</si>
  <si>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</si>
  <si>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</si>
  <si>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</si>
  <si>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</si>
  <si>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</si>
  <si>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</si>
  <si>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</si>
  <si>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</si>
  <si>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</si>
  <si>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</si>
  <si>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</si>
  <si>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</si>
  <si>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</si>
  <si>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</si>
  <si>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</si>
  <si>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</si>
  <si>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</si>
  <si>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</si>
  <si>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</si>
  <si>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</si>
  <si>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</si>
  <si>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</si>
  <si>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</si>
  <si>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</si>
  <si>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</si>
  <si>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</si>
  <si>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</si>
  <si>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</si>
  <si>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</si>
  <si>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</si>
  <si>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</si>
  <si>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</si>
  <si>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</si>
  <si>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</si>
  <si>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</si>
  <si>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</si>
  <si>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</si>
  <si>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</si>
  <si>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</si>
  <si>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</si>
  <si>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</si>
  <si>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</si>
  <si>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</si>
  <si>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</si>
  <si>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</si>
  <si>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</si>
  <si>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</si>
  <si>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</si>
  <si>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</si>
  <si>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</si>
  <si>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</si>
  <si>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</si>
  <si>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</si>
  <si>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</si>
  <si>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</si>
  <si>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</si>
  <si>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</si>
  <si>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</si>
  <si>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</si>
  <si>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</si>
  <si>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</si>
  <si>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</si>
  <si>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</si>
  <si>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</si>
  <si>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</si>
  <si>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</si>
  <si>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</si>
  <si>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</si>
  <si>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</si>
  <si>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</si>
  <si>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</si>
  <si>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</si>
  <si>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</si>
  <si>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</si>
  <si>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</si>
  <si>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</si>
  <si>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</si>
  <si>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</si>
  <si>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</si>
  <si>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</si>
  <si>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</si>
  <si>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</si>
  <si>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</si>
  <si>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</si>
  <si>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</si>
  <si>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</si>
  <si>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</si>
  <si>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</si>
  <si>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</si>
  <si>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</si>
  <si>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</si>
  <si>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</si>
  <si>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</si>
  <si>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</si>
  <si>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</si>
  <si>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</si>
  <si>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</si>
  <si>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</si>
  <si>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</si>
  <si>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</si>
  <si>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</si>
  <si>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</si>
  <si>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</si>
  <si>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</si>
  <si>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</si>
  <si>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</si>
  <si>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</si>
  <si>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</si>
  <si>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</si>
  <si>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</si>
  <si>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</si>
  <si>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</si>
  <si>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</si>
  <si>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</si>
  <si>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</si>
  <si>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</si>
  <si>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</si>
  <si>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وبانک 15274 تا 292.6</t>
  </si>
  <si>
    <t>شاراک</t>
  </si>
  <si>
    <t>شاراک 10431 تا 4418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</si>
  <si>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</si>
  <si>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</si>
  <si>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</si>
  <si>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</si>
  <si>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</si>
  <si>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</si>
  <si>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</si>
  <si>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</si>
  <si>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</si>
  <si>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</si>
  <si>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</si>
  <si>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</si>
  <si>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</si>
  <si>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</si>
  <si>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</si>
  <si>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</si>
  <si>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</si>
  <si>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</si>
  <si>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</si>
  <si>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</si>
  <si>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</si>
  <si>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</si>
  <si>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</si>
  <si>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</si>
  <si>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</si>
  <si>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</si>
  <si>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</si>
  <si>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</si>
  <si>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</si>
  <si>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</si>
  <si>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بدهی به سارا نقدی 4/9</t>
  </si>
  <si>
    <t>5/9/1397</t>
  </si>
  <si>
    <t>مادیرا 399 تا 365</t>
  </si>
  <si>
    <t>مادیرا</t>
  </si>
  <si>
    <t xml:space="preserve">مادیرا </t>
  </si>
  <si>
    <t>مادیرا 398 تا 365</t>
  </si>
  <si>
    <t>مادیرا سارا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</si>
  <si>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</si>
  <si>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</si>
  <si>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</si>
  <si>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</si>
  <si>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</si>
  <si>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</si>
  <si>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</si>
  <si>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</si>
  <si>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</si>
  <si>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طلب از حسین اکبریان 398 تا مادیرا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</si>
  <si>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</si>
  <si>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</si>
  <si>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</si>
  <si>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</si>
  <si>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</si>
  <si>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</si>
  <si>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</si>
  <si>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</si>
  <si>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</si>
  <si>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</si>
  <si>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</si>
  <si>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</si>
  <si>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</si>
  <si>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</si>
  <si>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</si>
  <si>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</si>
  <si>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</si>
  <si>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</si>
  <si>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</si>
  <si>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</si>
  <si>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</si>
  <si>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</si>
  <si>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</si>
  <si>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</si>
  <si>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</si>
  <si>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</si>
  <si>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</si>
  <si>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</si>
  <si>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</si>
  <si>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</si>
  <si>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</si>
  <si>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</si>
  <si>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</si>
  <si>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</si>
  <si>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</si>
  <si>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</si>
  <si>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</si>
  <si>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</si>
  <si>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</si>
  <si>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</si>
  <si>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</si>
  <si>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</si>
  <si>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</si>
  <si>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</si>
  <si>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</si>
  <si>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</si>
  <si>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</si>
  <si>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</si>
  <si>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</si>
  <si>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</si>
  <si>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</si>
  <si>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</si>
  <si>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</si>
  <si>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</si>
  <si>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</si>
  <si>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</si>
  <si>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</si>
  <si>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</si>
  <si>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</si>
  <si>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</si>
  <si>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</si>
  <si>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</si>
  <si>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</si>
  <si>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</si>
  <si>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</si>
  <si>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</si>
  <si>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</si>
  <si>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سکه9812 تعداد 10 قیمت 389000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</si>
  <si>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</si>
  <si>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</si>
  <si>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</si>
  <si>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</si>
  <si>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</si>
  <si>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</si>
  <si>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</si>
  <si>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</si>
  <si>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</si>
  <si>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بدهی به داریوش 19/9/97</t>
  </si>
  <si>
    <t>سکه9912 تعداد 10 قیمت 382100</t>
  </si>
  <si>
    <t>قبل از مجمع ورود سنگین به شاراک گزارش 9 ماهه احتمالا 5/11 بیاد</t>
  </si>
  <si>
    <t>تبدیل تمام سهمهای جزیی به وغدیر و یا سکه یا شاراک</t>
  </si>
  <si>
    <t>پول نقد دست علی</t>
  </si>
  <si>
    <t>از مسکن سارا به علی تعلق گرفت</t>
  </si>
  <si>
    <t>طلای لوتوس</t>
  </si>
  <si>
    <t>طلای لوتوس 271 تا 2850</t>
  </si>
  <si>
    <t>وغدیر 190.3 که 3622 تا  در حساب داریوش است</t>
  </si>
  <si>
    <t>21/9/1397</t>
  </si>
  <si>
    <t>فروش 1000 تا وغدیر حساب داریوش 172900 تومن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</si>
  <si>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</si>
  <si>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</si>
  <si>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</si>
  <si>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زکشت</t>
  </si>
  <si>
    <t>زکشت 80 تا 315</t>
  </si>
  <si>
    <t>زکشت 79 تا 315</t>
  </si>
  <si>
    <t>وغدیر 34000 تا میانگین خرید 172.2 (1000 تا در حساب سارا فروختم 1759 و 3000 تای دیگر را 1739 فروختم)</t>
  </si>
  <si>
    <t>22/9/1397</t>
  </si>
  <si>
    <t>شنبه 24/9 حدود 1.200.000 سهام بفروش</t>
  </si>
  <si>
    <t>24/9/1397</t>
  </si>
  <si>
    <t>وغدیر 10000 تا متوسط 168.5</t>
  </si>
  <si>
    <t>وغدیر 4000 تا متوسط 167.8</t>
  </si>
  <si>
    <t>سکه9912 تعداد 10 قیمت 361000</t>
  </si>
  <si>
    <t>به امیر قدس</t>
  </si>
  <si>
    <t>طلب از قدس</t>
  </si>
  <si>
    <t>25/9/1397</t>
  </si>
  <si>
    <t>وغدیر 800 تا 166.2</t>
  </si>
  <si>
    <t>وغدیر 604 تا 166.7</t>
  </si>
  <si>
    <t>وغدیر 644 تا 167</t>
  </si>
  <si>
    <t>بنزین و موز</t>
  </si>
  <si>
    <t>علی بنزین و موز 24/9</t>
  </si>
  <si>
    <t>نقد دست مریم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</si>
</sst>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topLeftCell="A19" workbookViewId="0">
      <selection activeCell="E51" sqref="E51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4452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4460</v>
      </c>
      <c r="B3" s="18">
        <v>2500000</v>
      </c>
      <c r="C3" s="18">
        <v>0</v>
      </c>
      <c r="D3" s="117">
        <f t="shared" ref="D3:D29" si="0">B3-C3</f>
        <v>2500000</v>
      </c>
      <c r="E3" s="20" t="s">
        <v>3893</v>
      </c>
      <c r="F3" s="96">
        <v>27</v>
      </c>
      <c r="G3" s="96">
        <f t="shared" ref="G3:G27" si="1">B3*F3</f>
        <v>67500000</v>
      </c>
      <c r="H3" s="96">
        <f t="shared" ref="H3:H27" si="2">C3*F3</f>
        <v>0</v>
      </c>
      <c r="I3" s="96">
        <f t="shared" ref="I3:I27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4463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4473</v>
      </c>
      <c r="B5" s="18">
        <v>1100000</v>
      </c>
      <c r="C5" s="18">
        <v>0</v>
      </c>
      <c r="D5" s="113">
        <f t="shared" si="0"/>
        <v>1100000</v>
      </c>
      <c r="E5" s="20" t="s">
        <v>4337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4480</v>
      </c>
      <c r="B6" s="18">
        <v>3000000</v>
      </c>
      <c r="C6" s="18">
        <v>0</v>
      </c>
      <c r="D6" s="113">
        <f t="shared" si="0"/>
        <v>3000000</v>
      </c>
      <c r="E6" s="19" t="s">
        <v>4481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4472</v>
      </c>
      <c r="B7" s="18">
        <v>-2000700</v>
      </c>
      <c r="C7" s="18">
        <v>0</v>
      </c>
      <c r="D7" s="113">
        <f t="shared" si="0"/>
        <v>-2000700</v>
      </c>
      <c r="E7" s="19" t="s">
        <v>4512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4472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4472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4472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4521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4521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4530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4541</v>
      </c>
      <c r="B16" s="18">
        <v>12000000</v>
      </c>
      <c r="C16" s="18">
        <v>0</v>
      </c>
      <c r="D16" s="113">
        <f t="shared" si="0"/>
        <v>12000000</v>
      </c>
      <c r="E16" s="20" t="s">
        <v>4542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4543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4545</v>
      </c>
      <c r="B18" s="18">
        <v>-14000000</v>
      </c>
      <c r="C18" s="18">
        <v>0</v>
      </c>
      <c r="D18" s="113">
        <f t="shared" si="0"/>
        <v>-14000000</v>
      </c>
      <c r="E18" s="20" t="s">
        <v>3772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4548</v>
      </c>
      <c r="B19" s="18">
        <v>-124969</v>
      </c>
      <c r="C19" s="18">
        <v>0</v>
      </c>
      <c r="D19" s="113">
        <f t="shared" si="0"/>
        <v>-124969</v>
      </c>
      <c r="E19" s="20" t="s">
        <v>4017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4548</v>
      </c>
      <c r="B20" s="18">
        <v>0</v>
      </c>
      <c r="C20" s="18">
        <v>-8034286</v>
      </c>
      <c r="D20" s="113">
        <f t="shared" si="0"/>
        <v>8034286</v>
      </c>
      <c r="E20" s="19" t="s">
        <v>4552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4548</v>
      </c>
      <c r="B21" s="18">
        <v>-10000</v>
      </c>
      <c r="C21" s="18">
        <v>0</v>
      </c>
      <c r="D21" s="113">
        <f t="shared" si="0"/>
        <v>-10000</v>
      </c>
      <c r="E21" s="19" t="s">
        <v>4553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4554</v>
      </c>
      <c r="B22" s="18">
        <v>-1313000</v>
      </c>
      <c r="C22" s="18">
        <v>0</v>
      </c>
      <c r="D22" s="113">
        <f t="shared" si="0"/>
        <v>-1313000</v>
      </c>
      <c r="E22" s="19" t="s">
        <v>3772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4574</v>
      </c>
      <c r="B23" s="18">
        <v>2000000</v>
      </c>
      <c r="C23" s="18">
        <v>0</v>
      </c>
      <c r="D23" s="113">
        <f t="shared" si="0"/>
        <v>2000000</v>
      </c>
      <c r="E23" s="19" t="s">
        <v>3893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4576</v>
      </c>
      <c r="B24" s="18">
        <v>-1900000</v>
      </c>
      <c r="C24" s="18">
        <v>0</v>
      </c>
      <c r="D24" s="113">
        <f t="shared" si="0"/>
        <v>-1900000</v>
      </c>
      <c r="E24" s="19" t="s">
        <v>3772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4576</v>
      </c>
      <c r="B25" s="18">
        <v>-100500</v>
      </c>
      <c r="C25" s="18">
        <v>0</v>
      </c>
      <c r="D25" s="113">
        <f t="shared" si="0"/>
        <v>-100500</v>
      </c>
      <c r="E25" s="19" t="s">
        <v>4580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4576</v>
      </c>
      <c r="B26" s="18">
        <v>-68670</v>
      </c>
      <c r="C26" s="18">
        <v>0</v>
      </c>
      <c r="D26" s="113">
        <f t="shared" si="0"/>
        <v>-68670</v>
      </c>
      <c r="E26" s="19" t="s">
        <v>4586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4582</v>
      </c>
      <c r="B27" s="18">
        <v>-7100</v>
      </c>
      <c r="C27" s="18">
        <v>0</v>
      </c>
      <c r="D27" s="113">
        <f t="shared" si="0"/>
        <v>-7100</v>
      </c>
      <c r="E27" s="19" t="s">
        <v>4422</v>
      </c>
      <c r="F27" s="96">
        <v>6</v>
      </c>
      <c r="G27" s="96">
        <f t="shared" si="1"/>
        <v>-42600</v>
      </c>
      <c r="H27" s="96">
        <f t="shared" si="2"/>
        <v>0</v>
      </c>
      <c r="I27" s="96">
        <f t="shared" si="3"/>
        <v>-42600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/>
      <c r="B28" s="18"/>
      <c r="C28" s="18"/>
      <c r="D28" s="113"/>
      <c r="E28" s="19"/>
      <c r="F28" s="96"/>
      <c r="G28" s="96"/>
      <c r="H28" s="96"/>
      <c r="I28" s="96"/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69" t="s">
        <v>4172</v>
      </c>
      <c r="B29" s="169"/>
      <c r="C29" s="169">
        <v>0</v>
      </c>
      <c r="D29" s="169">
        <f t="shared" si="0"/>
        <v>0</v>
      </c>
      <c r="E29" s="169"/>
      <c r="F29" s="96"/>
      <c r="G29" s="96">
        <f>B29*F29</f>
        <v>0</v>
      </c>
      <c r="H29" s="96">
        <f>C29*F29</f>
        <v>0</v>
      </c>
      <c r="I29" s="96">
        <f>D29*F29</f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69" t="s">
        <v>6</v>
      </c>
      <c r="B30" s="113">
        <f>SUM(B2:B29)</f>
        <v>127255</v>
      </c>
      <c r="C30" s="113">
        <f>SUM(C2:C29)</f>
        <v>0</v>
      </c>
      <c r="D30" s="113">
        <f>SUM(D2:D29)</f>
        <v>127255</v>
      </c>
      <c r="E30" s="169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/>
      <c r="G31" s="18">
        <f>SUM(G2:G29)</f>
        <v>30240533</v>
      </c>
      <c r="H31" s="18">
        <f>SUM(H2:H29)</f>
        <v>136582862</v>
      </c>
      <c r="I31" s="18">
        <f>SUM(I2:I29)</f>
        <v>-106342329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 t="s">
        <v>25</v>
      </c>
      <c r="C32" s="96"/>
      <c r="D32" s="96"/>
      <c r="E32" s="96"/>
      <c r="F32" s="96"/>
      <c r="G32" s="96" t="s">
        <v>62</v>
      </c>
      <c r="H32" s="96" t="s">
        <v>36</v>
      </c>
      <c r="I32" s="96" t="s">
        <v>37</v>
      </c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96"/>
      <c r="E34" s="96"/>
      <c r="F34" s="96" t="s">
        <v>25</v>
      </c>
      <c r="G34" s="96"/>
      <c r="H34" s="96"/>
      <c r="I34" s="96"/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 t="s">
        <v>25</v>
      </c>
      <c r="D35" s="41"/>
      <c r="E35" s="41" t="s">
        <v>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0</v>
      </c>
      <c r="E36" s="41" t="s">
        <v>4509</v>
      </c>
      <c r="F36" s="96"/>
      <c r="G36" s="18">
        <v>600</v>
      </c>
      <c r="H36" s="18">
        <f>G36*H31/G31</f>
        <v>2709.929656332446</v>
      </c>
      <c r="I36" s="18">
        <f>G36*I31/G31</f>
        <v>-2109.929656332446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ht="30">
      <c r="A37" s="96"/>
      <c r="B37" s="96"/>
      <c r="C37" s="96"/>
      <c r="D37" s="114">
        <v>1000000</v>
      </c>
      <c r="E37" s="54" t="s">
        <v>4513</v>
      </c>
      <c r="F37" s="96"/>
      <c r="G37" s="9" t="s">
        <v>1037</v>
      </c>
      <c r="H37" s="9" t="s">
        <v>38</v>
      </c>
      <c r="I37" s="9" t="s">
        <v>39</v>
      </c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114"/>
      <c r="C38" s="96"/>
      <c r="D38" s="114">
        <v>189200</v>
      </c>
      <c r="E38" s="54" t="s">
        <v>4515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40000</v>
      </c>
      <c r="E39" s="54" t="s">
        <v>4514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-490000</v>
      </c>
      <c r="E40" s="54" t="s">
        <v>4518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-597051</v>
      </c>
      <c r="E41" s="54" t="s">
        <v>4533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13900</v>
      </c>
      <c r="E42" s="54" t="s">
        <v>4534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2000000</v>
      </c>
      <c r="E43" s="54" t="s">
        <v>4535</v>
      </c>
      <c r="F43" s="96"/>
      <c r="G43" s="96" t="s">
        <v>25</v>
      </c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-300000</v>
      </c>
      <c r="E44" s="54" t="s">
        <v>4536</v>
      </c>
      <c r="F44" s="96"/>
      <c r="G44" s="96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ht="30">
      <c r="A45" s="96"/>
      <c r="B45" s="96"/>
      <c r="C45" s="96"/>
      <c r="D45" s="114">
        <v>300000</v>
      </c>
      <c r="E45" s="54" t="s">
        <v>4544</v>
      </c>
      <c r="F45" s="96" t="s">
        <v>25</v>
      </c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124969</v>
      </c>
      <c r="E46" s="54" t="s">
        <v>4017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12661</v>
      </c>
      <c r="E47" s="54" t="s">
        <v>4561</v>
      </c>
      <c r="F47" s="96"/>
      <c r="G47" s="96"/>
      <c r="H47" s="96" t="s">
        <v>25</v>
      </c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-55000</v>
      </c>
      <c r="E48" s="54" t="s">
        <v>4569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100500</v>
      </c>
      <c r="E49" s="54" t="s">
        <v>4580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68670</v>
      </c>
      <c r="E50" s="54" t="s">
        <v>4587</v>
      </c>
      <c r="F50" s="114" t="s">
        <v>25</v>
      </c>
      <c r="G50" s="41" t="s">
        <v>25</v>
      </c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96"/>
      <c r="E51" s="54" t="s">
        <v>25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f>SUM(D36:D51)</f>
        <v>2407849</v>
      </c>
      <c r="E52" s="96" t="s">
        <v>6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/>
      <c r="E53" s="41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96"/>
      <c r="E54" s="96" t="s">
        <v>25</v>
      </c>
      <c r="F54" s="96"/>
      <c r="G54" s="96"/>
      <c r="H54" s="96" t="s">
        <v>25</v>
      </c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96"/>
      <c r="E55" s="96" t="s">
        <v>25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96"/>
      <c r="E57" s="96" t="s">
        <v>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F63" s="96"/>
      <c r="G63" s="96"/>
      <c r="H63" s="96" t="s">
        <v>25</v>
      </c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 t="s">
        <v>25</v>
      </c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114"/>
      <c r="G71" s="54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114"/>
      <c r="G72" s="54" t="s">
        <v>25</v>
      </c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 t="s">
        <v>25</v>
      </c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 t="s">
        <v>25</v>
      </c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 t="s">
        <v>25</v>
      </c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</sheetData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tabSelected="1" zoomScaleNormal="100" workbookViewId="0">
      <pane ySplit="1" topLeftCell="A245" activePane="bottomLeft" state="frozen"/>
      <selection pane="bottomLeft" activeCell="L263" sqref="L26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980</v>
      </c>
      <c r="H2" s="36">
        <f>IF(B2&gt;0,1,0)</f>
        <v>1</v>
      </c>
      <c r="I2" s="11">
        <f>B2*(G2-H2)</f>
        <v>16349300</v>
      </c>
      <c r="J2" s="53">
        <f>C2*(G2-H2)</f>
        <v>16349300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979</v>
      </c>
      <c r="H3" s="36">
        <f t="shared" ref="H3:H66" si="2">IF(B3&gt;0,1,0)</f>
        <v>1</v>
      </c>
      <c r="I3" s="11">
        <f t="shared" ref="I3:I66" si="3">B3*(G3-H3)</f>
        <v>19462200000</v>
      </c>
      <c r="J3" s="53">
        <f t="shared" ref="J3:J66" si="4">C3*(G3-H3)</f>
        <v>11136486000</v>
      </c>
      <c r="K3" s="53">
        <f t="shared" ref="K3:K66" si="5">D3*(G3-H3)</f>
        <v>8325714000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979</v>
      </c>
      <c r="H4" s="36">
        <f t="shared" si="2"/>
        <v>0</v>
      </c>
      <c r="I4" s="11">
        <f t="shared" si="3"/>
        <v>0</v>
      </c>
      <c r="J4" s="53">
        <f t="shared" si="4"/>
        <v>8321500</v>
      </c>
      <c r="K4" s="53">
        <f t="shared" si="5"/>
        <v>-8321500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977</v>
      </c>
      <c r="H5" s="36">
        <f t="shared" si="2"/>
        <v>1</v>
      </c>
      <c r="I5" s="11">
        <f t="shared" si="3"/>
        <v>1952000000</v>
      </c>
      <c r="J5" s="53">
        <f t="shared" si="4"/>
        <v>0</v>
      </c>
      <c r="K5" s="53">
        <f t="shared" si="5"/>
        <v>1952000000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970</v>
      </c>
      <c r="H6" s="36">
        <f t="shared" si="2"/>
        <v>0</v>
      </c>
      <c r="I6" s="11">
        <f t="shared" si="3"/>
        <v>-4850000</v>
      </c>
      <c r="J6" s="53">
        <f t="shared" si="4"/>
        <v>0</v>
      </c>
      <c r="K6" s="53">
        <f t="shared" si="5"/>
        <v>-4850000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966</v>
      </c>
      <c r="H7" s="36">
        <f t="shared" si="2"/>
        <v>0</v>
      </c>
      <c r="I7" s="11">
        <f t="shared" si="3"/>
        <v>-1159683000</v>
      </c>
      <c r="J7" s="53">
        <f t="shared" si="4"/>
        <v>0</v>
      </c>
      <c r="K7" s="53">
        <f t="shared" si="5"/>
        <v>-1159683000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965</v>
      </c>
      <c r="H8" s="36">
        <f t="shared" si="2"/>
        <v>0</v>
      </c>
      <c r="I8" s="11">
        <f t="shared" si="3"/>
        <v>-193000000</v>
      </c>
      <c r="J8" s="53">
        <f t="shared" si="4"/>
        <v>0</v>
      </c>
      <c r="K8" s="53">
        <f t="shared" si="5"/>
        <v>-193000000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963</v>
      </c>
      <c r="H9" s="36">
        <f t="shared" si="2"/>
        <v>0</v>
      </c>
      <c r="I9" s="11">
        <f t="shared" si="3"/>
        <v>-679396500</v>
      </c>
      <c r="J9" s="53">
        <f t="shared" si="4"/>
        <v>0</v>
      </c>
      <c r="K9" s="53">
        <f t="shared" si="5"/>
        <v>-679396500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954</v>
      </c>
      <c r="H10" s="36">
        <f t="shared" si="2"/>
        <v>0</v>
      </c>
      <c r="I10" s="11">
        <f t="shared" si="3"/>
        <v>-190800000</v>
      </c>
      <c r="J10" s="53">
        <f t="shared" si="4"/>
        <v>0</v>
      </c>
      <c r="K10" s="53">
        <f t="shared" si="5"/>
        <v>-190800000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954</v>
      </c>
      <c r="H11" s="36">
        <f t="shared" si="2"/>
        <v>1</v>
      </c>
      <c r="I11" s="11">
        <f t="shared" si="3"/>
        <v>953000000</v>
      </c>
      <c r="J11" s="53">
        <f t="shared" si="4"/>
        <v>0</v>
      </c>
      <c r="K11" s="53">
        <f t="shared" si="5"/>
        <v>953000000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950</v>
      </c>
      <c r="H12" s="36">
        <f t="shared" si="2"/>
        <v>0</v>
      </c>
      <c r="I12" s="11">
        <f t="shared" si="3"/>
        <v>-285000000</v>
      </c>
      <c r="J12" s="53">
        <f t="shared" si="4"/>
        <v>0</v>
      </c>
      <c r="K12" s="53">
        <f t="shared" si="5"/>
        <v>-285000000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945</v>
      </c>
      <c r="H13" s="36">
        <f t="shared" si="2"/>
        <v>0</v>
      </c>
      <c r="I13" s="11">
        <f t="shared" si="3"/>
        <v>-58590000</v>
      </c>
      <c r="J13" s="53">
        <f t="shared" si="4"/>
        <v>0</v>
      </c>
      <c r="K13" s="53">
        <f t="shared" si="5"/>
        <v>-58590000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945</v>
      </c>
      <c r="H14" s="36">
        <f t="shared" si="2"/>
        <v>1</v>
      </c>
      <c r="I14" s="11">
        <f t="shared" si="3"/>
        <v>1888000000</v>
      </c>
      <c r="J14" s="53">
        <f t="shared" si="4"/>
        <v>0</v>
      </c>
      <c r="K14" s="53">
        <f t="shared" si="5"/>
        <v>1888000000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944</v>
      </c>
      <c r="H15" s="36">
        <f t="shared" si="2"/>
        <v>1</v>
      </c>
      <c r="I15" s="11">
        <f t="shared" si="3"/>
        <v>1697400000</v>
      </c>
      <c r="J15" s="53">
        <f t="shared" si="4"/>
        <v>0</v>
      </c>
      <c r="K15" s="53">
        <f t="shared" si="5"/>
        <v>1697400000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944</v>
      </c>
      <c r="H16" s="36">
        <f t="shared" si="2"/>
        <v>0</v>
      </c>
      <c r="I16" s="11">
        <f t="shared" si="3"/>
        <v>-188800000</v>
      </c>
      <c r="J16" s="53">
        <f t="shared" si="4"/>
        <v>0</v>
      </c>
      <c r="K16" s="53">
        <f t="shared" si="5"/>
        <v>-188800000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940</v>
      </c>
      <c r="H17" s="36">
        <f t="shared" si="2"/>
        <v>0</v>
      </c>
      <c r="I17" s="11">
        <f t="shared" si="3"/>
        <v>-1880000000</v>
      </c>
      <c r="J17" s="53">
        <f t="shared" si="4"/>
        <v>0</v>
      </c>
      <c r="K17" s="53">
        <f t="shared" si="5"/>
        <v>-1880000000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939</v>
      </c>
      <c r="H18" s="36">
        <f t="shared" si="2"/>
        <v>0</v>
      </c>
      <c r="I18" s="11">
        <f t="shared" si="3"/>
        <v>-281700000</v>
      </c>
      <c r="J18" s="53">
        <f t="shared" si="4"/>
        <v>0</v>
      </c>
      <c r="K18" s="53">
        <f t="shared" si="5"/>
        <v>-281700000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938</v>
      </c>
      <c r="H19" s="36">
        <f t="shared" si="2"/>
        <v>0</v>
      </c>
      <c r="I19" s="11">
        <f t="shared" si="3"/>
        <v>-187600000</v>
      </c>
      <c r="J19" s="53">
        <f t="shared" si="4"/>
        <v>0</v>
      </c>
      <c r="K19" s="53">
        <f t="shared" si="5"/>
        <v>-187600000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936</v>
      </c>
      <c r="H20" s="36">
        <f t="shared" si="2"/>
        <v>1</v>
      </c>
      <c r="I20" s="11">
        <f t="shared" si="3"/>
        <v>253468215</v>
      </c>
      <c r="J20" s="53">
        <f t="shared" si="4"/>
        <v>137867620</v>
      </c>
      <c r="K20" s="53">
        <f t="shared" si="5"/>
        <v>115600595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934</v>
      </c>
      <c r="H21" s="36">
        <f t="shared" si="2"/>
        <v>0</v>
      </c>
      <c r="I21" s="11">
        <f t="shared" si="3"/>
        <v>-1406323800</v>
      </c>
      <c r="J21" s="53">
        <f t="shared" si="4"/>
        <v>0</v>
      </c>
      <c r="K21" s="53">
        <f t="shared" si="5"/>
        <v>-1406323800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931</v>
      </c>
      <c r="H22" s="36">
        <f t="shared" si="2"/>
        <v>1</v>
      </c>
      <c r="I22" s="11">
        <f t="shared" si="3"/>
        <v>2790000000</v>
      </c>
      <c r="J22" s="53">
        <f t="shared" si="4"/>
        <v>0</v>
      </c>
      <c r="K22" s="53">
        <f t="shared" si="5"/>
        <v>2790000000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930</v>
      </c>
      <c r="H23" s="36">
        <f t="shared" si="2"/>
        <v>1</v>
      </c>
      <c r="I23" s="11">
        <f t="shared" si="3"/>
        <v>929000000</v>
      </c>
      <c r="J23" s="53">
        <f t="shared" si="4"/>
        <v>0</v>
      </c>
      <c r="K23" s="53">
        <f t="shared" si="5"/>
        <v>929000000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929</v>
      </c>
      <c r="H24" s="36">
        <f t="shared" si="2"/>
        <v>0</v>
      </c>
      <c r="I24" s="11">
        <f t="shared" si="3"/>
        <v>-2787836100</v>
      </c>
      <c r="J24" s="53">
        <f t="shared" si="4"/>
        <v>0</v>
      </c>
      <c r="K24" s="53">
        <f t="shared" si="5"/>
        <v>-2787836100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914</v>
      </c>
      <c r="H25" s="36">
        <f t="shared" si="2"/>
        <v>1</v>
      </c>
      <c r="I25" s="11">
        <f t="shared" si="3"/>
        <v>1369500000</v>
      </c>
      <c r="J25" s="53">
        <f t="shared" si="4"/>
        <v>0</v>
      </c>
      <c r="K25" s="53">
        <f t="shared" si="5"/>
        <v>1369500000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906</v>
      </c>
      <c r="H26" s="36">
        <f t="shared" si="2"/>
        <v>0</v>
      </c>
      <c r="I26" s="11">
        <f t="shared" si="3"/>
        <v>-148584000</v>
      </c>
      <c r="J26" s="53">
        <f t="shared" si="4"/>
        <v>0</v>
      </c>
      <c r="K26" s="53">
        <f t="shared" si="5"/>
        <v>-148584000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905</v>
      </c>
      <c r="H27" s="36">
        <f t="shared" si="2"/>
        <v>1</v>
      </c>
      <c r="I27" s="11">
        <f t="shared" si="3"/>
        <v>180251272</v>
      </c>
      <c r="J27" s="53">
        <f t="shared" si="4"/>
        <v>97101352</v>
      </c>
      <c r="K27" s="53">
        <f t="shared" si="5"/>
        <v>83149920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903</v>
      </c>
      <c r="H28" s="36">
        <f t="shared" si="2"/>
        <v>0</v>
      </c>
      <c r="I28" s="11">
        <f t="shared" si="3"/>
        <v>-199563000</v>
      </c>
      <c r="J28" s="53">
        <f t="shared" si="4"/>
        <v>-199563000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903</v>
      </c>
      <c r="H29" s="36">
        <f t="shared" si="2"/>
        <v>0</v>
      </c>
      <c r="I29" s="11">
        <f t="shared" si="3"/>
        <v>-451951500</v>
      </c>
      <c r="J29" s="53">
        <f t="shared" si="4"/>
        <v>0</v>
      </c>
      <c r="K29" s="53">
        <f t="shared" si="5"/>
        <v>-451951500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903</v>
      </c>
      <c r="H30" s="36">
        <f t="shared" si="2"/>
        <v>0</v>
      </c>
      <c r="I30" s="11">
        <f t="shared" si="3"/>
        <v>-13545000000</v>
      </c>
      <c r="J30" s="53">
        <f t="shared" si="4"/>
        <v>-13545000000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886</v>
      </c>
      <c r="H31" s="36">
        <f t="shared" si="2"/>
        <v>0</v>
      </c>
      <c r="I31" s="11">
        <f t="shared" si="3"/>
        <v>-2667657400</v>
      </c>
      <c r="J31" s="53">
        <f t="shared" si="4"/>
        <v>0</v>
      </c>
      <c r="K31" s="53">
        <f t="shared" si="5"/>
        <v>-2667657400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884</v>
      </c>
      <c r="H32" s="36">
        <f t="shared" si="2"/>
        <v>0</v>
      </c>
      <c r="I32" s="11">
        <f t="shared" si="3"/>
        <v>-2657215600</v>
      </c>
      <c r="J32" s="53">
        <f t="shared" si="4"/>
        <v>0</v>
      </c>
      <c r="K32" s="53">
        <f t="shared" si="5"/>
        <v>-2657215600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883</v>
      </c>
      <c r="H33" s="36">
        <f t="shared" si="2"/>
        <v>0</v>
      </c>
      <c r="I33" s="11">
        <f t="shared" si="3"/>
        <v>-790726500</v>
      </c>
      <c r="J33" s="53">
        <f t="shared" si="4"/>
        <v>0</v>
      </c>
      <c r="K33" s="53">
        <f t="shared" si="5"/>
        <v>-790726500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883</v>
      </c>
      <c r="H34" s="36">
        <f t="shared" si="2"/>
        <v>0</v>
      </c>
      <c r="I34" s="11">
        <f t="shared" si="3"/>
        <v>0</v>
      </c>
      <c r="J34" s="53">
        <f t="shared" si="4"/>
        <v>883000000</v>
      </c>
      <c r="K34" s="53">
        <f t="shared" si="5"/>
        <v>-883000000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874</v>
      </c>
      <c r="H35" s="36">
        <f t="shared" si="2"/>
        <v>1</v>
      </c>
      <c r="I35" s="11">
        <f t="shared" si="3"/>
        <v>45808056</v>
      </c>
      <c r="J35" s="53">
        <f t="shared" si="4"/>
        <v>-18911799</v>
      </c>
      <c r="K35" s="53">
        <f t="shared" si="5"/>
        <v>64719855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874</v>
      </c>
      <c r="H36" s="36">
        <f t="shared" si="2"/>
        <v>0</v>
      </c>
      <c r="I36" s="11">
        <f t="shared" si="3"/>
        <v>0</v>
      </c>
      <c r="J36" s="53">
        <f t="shared" si="4"/>
        <v>18933462</v>
      </c>
      <c r="K36" s="53">
        <f t="shared" si="5"/>
        <v>-18933462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864</v>
      </c>
      <c r="H37" s="36">
        <f t="shared" si="2"/>
        <v>0</v>
      </c>
      <c r="I37" s="11">
        <f t="shared" si="3"/>
        <v>-47520000</v>
      </c>
      <c r="J37" s="53">
        <f t="shared" si="4"/>
        <v>0</v>
      </c>
      <c r="K37" s="53">
        <f t="shared" si="5"/>
        <v>-47520000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863</v>
      </c>
      <c r="H38" s="36">
        <f t="shared" si="2"/>
        <v>1</v>
      </c>
      <c r="I38" s="11">
        <f t="shared" si="3"/>
        <v>2586000000</v>
      </c>
      <c r="J38" s="53">
        <f t="shared" si="4"/>
        <v>2586000000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862</v>
      </c>
      <c r="H39" s="36">
        <f t="shared" si="2"/>
        <v>1</v>
      </c>
      <c r="I39" s="11">
        <f t="shared" si="3"/>
        <v>2152500000</v>
      </c>
      <c r="J39" s="53">
        <f t="shared" si="4"/>
        <v>2152500000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862</v>
      </c>
      <c r="H40" s="36">
        <f t="shared" si="2"/>
        <v>0</v>
      </c>
      <c r="I40" s="11">
        <f t="shared" si="3"/>
        <v>-43100000</v>
      </c>
      <c r="J40" s="53">
        <f t="shared" si="4"/>
        <v>0</v>
      </c>
      <c r="K40" s="53">
        <f t="shared" si="5"/>
        <v>-43100000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862</v>
      </c>
      <c r="H41" s="36">
        <f t="shared" si="2"/>
        <v>1</v>
      </c>
      <c r="I41" s="11">
        <f t="shared" si="3"/>
        <v>2583000000</v>
      </c>
      <c r="J41" s="53">
        <f t="shared" si="4"/>
        <v>0</v>
      </c>
      <c r="K41" s="53">
        <f t="shared" si="5"/>
        <v>2583000000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859</v>
      </c>
      <c r="H42" s="36">
        <f t="shared" si="2"/>
        <v>0</v>
      </c>
      <c r="I42" s="11">
        <f t="shared" si="3"/>
        <v>-76622800</v>
      </c>
      <c r="J42" s="53">
        <f t="shared" si="4"/>
        <v>0</v>
      </c>
      <c r="K42" s="53">
        <f t="shared" si="5"/>
        <v>-76622800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855</v>
      </c>
      <c r="H43" s="36">
        <f t="shared" si="2"/>
        <v>0</v>
      </c>
      <c r="I43" s="11">
        <f t="shared" si="3"/>
        <v>-171000000</v>
      </c>
      <c r="J43" s="53">
        <f t="shared" si="4"/>
        <v>0</v>
      </c>
      <c r="K43" s="53">
        <f t="shared" si="5"/>
        <v>-171000000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853</v>
      </c>
      <c r="H44" s="36">
        <f t="shared" si="2"/>
        <v>0</v>
      </c>
      <c r="I44" s="11">
        <f t="shared" si="3"/>
        <v>-170600000</v>
      </c>
      <c r="J44" s="53">
        <f t="shared" si="4"/>
        <v>0</v>
      </c>
      <c r="K44" s="53">
        <f t="shared" si="5"/>
        <v>-170600000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853</v>
      </c>
      <c r="H45" s="36">
        <f t="shared" si="2"/>
        <v>0</v>
      </c>
      <c r="I45" s="11">
        <f t="shared" si="3"/>
        <v>-477680000</v>
      </c>
      <c r="J45" s="53">
        <f t="shared" si="4"/>
        <v>0</v>
      </c>
      <c r="K45" s="53">
        <f t="shared" si="5"/>
        <v>-477680000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849</v>
      </c>
      <c r="H46" s="36">
        <f t="shared" si="2"/>
        <v>0</v>
      </c>
      <c r="I46" s="11">
        <f t="shared" si="3"/>
        <v>-598969500</v>
      </c>
      <c r="J46" s="53">
        <f t="shared" si="4"/>
        <v>0</v>
      </c>
      <c r="K46" s="53">
        <f t="shared" si="5"/>
        <v>-598969500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843</v>
      </c>
      <c r="H47" s="36">
        <f t="shared" si="2"/>
        <v>1</v>
      </c>
      <c r="I47" s="11">
        <f t="shared" si="3"/>
        <v>34693768</v>
      </c>
      <c r="J47" s="53">
        <f t="shared" si="4"/>
        <v>5652346</v>
      </c>
      <c r="K47" s="53">
        <f t="shared" si="5"/>
        <v>29041422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843</v>
      </c>
      <c r="H48" s="36">
        <f t="shared" si="2"/>
        <v>1</v>
      </c>
      <c r="I48" s="11">
        <f t="shared" si="3"/>
        <v>1435357400</v>
      </c>
      <c r="J48" s="53">
        <f t="shared" si="4"/>
        <v>0</v>
      </c>
      <c r="K48" s="53">
        <f t="shared" si="5"/>
        <v>1435357400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834</v>
      </c>
      <c r="H49" s="36">
        <f t="shared" si="2"/>
        <v>0</v>
      </c>
      <c r="I49" s="11">
        <f t="shared" si="3"/>
        <v>-129270000</v>
      </c>
      <c r="J49" s="53">
        <f t="shared" si="4"/>
        <v>0</v>
      </c>
      <c r="K49" s="53">
        <f t="shared" si="5"/>
        <v>-129270000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834</v>
      </c>
      <c r="H50" s="36">
        <f t="shared" si="2"/>
        <v>0</v>
      </c>
      <c r="I50" s="11">
        <f t="shared" si="3"/>
        <v>-115092000</v>
      </c>
      <c r="J50" s="53">
        <f t="shared" si="4"/>
        <v>0</v>
      </c>
      <c r="K50" s="53">
        <f t="shared" si="5"/>
        <v>-115092000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834</v>
      </c>
      <c r="H51" s="36">
        <f t="shared" si="2"/>
        <v>0</v>
      </c>
      <c r="I51" s="11">
        <f t="shared" si="3"/>
        <v>-617160000</v>
      </c>
      <c r="J51" s="53">
        <f t="shared" si="4"/>
        <v>0</v>
      </c>
      <c r="K51" s="53">
        <f t="shared" si="5"/>
        <v>-617160000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834</v>
      </c>
      <c r="H52" s="36">
        <f t="shared" si="2"/>
        <v>0</v>
      </c>
      <c r="I52" s="11">
        <f t="shared" si="3"/>
        <v>-166800000</v>
      </c>
      <c r="J52" s="53">
        <f t="shared" si="4"/>
        <v>0</v>
      </c>
      <c r="K52" s="53">
        <f t="shared" si="5"/>
        <v>-166800000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833</v>
      </c>
      <c r="H53" s="36">
        <f t="shared" si="2"/>
        <v>0</v>
      </c>
      <c r="I53" s="11">
        <f t="shared" si="3"/>
        <v>-878815000</v>
      </c>
      <c r="J53" s="53">
        <f t="shared" si="4"/>
        <v>0</v>
      </c>
      <c r="K53" s="53">
        <f t="shared" si="5"/>
        <v>-878815000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833</v>
      </c>
      <c r="H54" s="36">
        <f t="shared" si="2"/>
        <v>0</v>
      </c>
      <c r="I54" s="11">
        <f t="shared" si="3"/>
        <v>-166600000</v>
      </c>
      <c r="J54" s="53">
        <f t="shared" si="4"/>
        <v>0</v>
      </c>
      <c r="K54" s="53">
        <f t="shared" si="5"/>
        <v>-166600000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833</v>
      </c>
      <c r="H55" s="36">
        <f t="shared" si="2"/>
        <v>0</v>
      </c>
      <c r="I55" s="11">
        <f t="shared" si="3"/>
        <v>-833416500</v>
      </c>
      <c r="J55" s="53">
        <f t="shared" si="4"/>
        <v>0</v>
      </c>
      <c r="K55" s="53">
        <f t="shared" si="5"/>
        <v>-833416500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833</v>
      </c>
      <c r="H56" s="36">
        <f t="shared" si="2"/>
        <v>0</v>
      </c>
      <c r="I56" s="11">
        <f t="shared" si="3"/>
        <v>-31654000</v>
      </c>
      <c r="J56" s="53">
        <f t="shared" si="4"/>
        <v>0</v>
      </c>
      <c r="K56" s="53">
        <f t="shared" si="5"/>
        <v>-31654000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833</v>
      </c>
      <c r="H57" s="36">
        <f t="shared" si="2"/>
        <v>0</v>
      </c>
      <c r="I57" s="11">
        <f t="shared" si="3"/>
        <v>-87465000</v>
      </c>
      <c r="J57" s="53">
        <f t="shared" si="4"/>
        <v>0</v>
      </c>
      <c r="K57" s="53">
        <f t="shared" si="5"/>
        <v>-87465000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833</v>
      </c>
      <c r="H58" s="36">
        <f t="shared" si="2"/>
        <v>0</v>
      </c>
      <c r="I58" s="11">
        <f t="shared" si="3"/>
        <v>-49980000</v>
      </c>
      <c r="J58" s="53">
        <f t="shared" si="4"/>
        <v>0</v>
      </c>
      <c r="K58" s="53">
        <f t="shared" si="5"/>
        <v>-49980000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830</v>
      </c>
      <c r="H59" s="36">
        <f t="shared" si="2"/>
        <v>1</v>
      </c>
      <c r="I59" s="11">
        <f t="shared" si="3"/>
        <v>829000000</v>
      </c>
      <c r="J59" s="53">
        <f t="shared" si="4"/>
        <v>829000000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829</v>
      </c>
      <c r="H60" s="36">
        <f t="shared" si="2"/>
        <v>1</v>
      </c>
      <c r="I60" s="11">
        <f t="shared" si="3"/>
        <v>2898000000</v>
      </c>
      <c r="J60" s="53">
        <f t="shared" si="4"/>
        <v>2898000000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827</v>
      </c>
      <c r="H61" s="36">
        <f t="shared" si="2"/>
        <v>1</v>
      </c>
      <c r="I61" s="11">
        <f t="shared" si="3"/>
        <v>826000000</v>
      </c>
      <c r="J61" s="53">
        <f t="shared" si="4"/>
        <v>826000000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827</v>
      </c>
      <c r="H62" s="36">
        <f t="shared" si="2"/>
        <v>1</v>
      </c>
      <c r="I62" s="11">
        <f t="shared" si="3"/>
        <v>2478000000</v>
      </c>
      <c r="J62" s="53">
        <f t="shared" si="4"/>
        <v>2478000000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825</v>
      </c>
      <c r="H63" s="36">
        <f t="shared" si="2"/>
        <v>0</v>
      </c>
      <c r="I63" s="11">
        <f t="shared" si="3"/>
        <v>-165000000</v>
      </c>
      <c r="J63" s="53">
        <f t="shared" si="4"/>
        <v>0</v>
      </c>
      <c r="K63" s="53">
        <f t="shared" si="5"/>
        <v>-165000000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820</v>
      </c>
      <c r="H64" s="36">
        <f t="shared" si="2"/>
        <v>0</v>
      </c>
      <c r="I64" s="11">
        <f t="shared" si="3"/>
        <v>-41000000</v>
      </c>
      <c r="J64" s="53">
        <f t="shared" si="4"/>
        <v>0</v>
      </c>
      <c r="K64" s="53">
        <f t="shared" si="5"/>
        <v>-41000000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816</v>
      </c>
      <c r="H65" s="36">
        <f t="shared" si="2"/>
        <v>0</v>
      </c>
      <c r="I65" s="11">
        <f t="shared" si="3"/>
        <v>-163200000</v>
      </c>
      <c r="J65" s="53">
        <f t="shared" si="4"/>
        <v>0</v>
      </c>
      <c r="K65" s="53">
        <f t="shared" si="5"/>
        <v>-163200000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813</v>
      </c>
      <c r="H66" s="36">
        <f t="shared" si="2"/>
        <v>0</v>
      </c>
      <c r="I66" s="11">
        <f t="shared" si="3"/>
        <v>-138210000</v>
      </c>
      <c r="J66" s="53">
        <f t="shared" si="4"/>
        <v>0</v>
      </c>
      <c r="K66" s="53">
        <f t="shared" si="5"/>
        <v>-138210000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812</v>
      </c>
      <c r="H67" s="36">
        <f t="shared" ref="H67:H131" si="8">IF(B67&gt;0,1,0)</f>
        <v>1</v>
      </c>
      <c r="I67" s="11">
        <f t="shared" ref="I67:I119" si="9">B67*(G67-H67)</f>
        <v>74064575</v>
      </c>
      <c r="J67" s="53">
        <f t="shared" ref="J67:J131" si="10">C67*(G67-H67)</f>
        <v>53301353</v>
      </c>
      <c r="K67" s="53">
        <f t="shared" ref="K67:K131" si="11">D67*(G67-H67)</f>
        <v>20763222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794</v>
      </c>
      <c r="H68" s="36">
        <f t="shared" si="8"/>
        <v>0</v>
      </c>
      <c r="I68" s="11">
        <f t="shared" si="9"/>
        <v>-115130000</v>
      </c>
      <c r="J68" s="53">
        <f t="shared" si="10"/>
        <v>0</v>
      </c>
      <c r="K68" s="53">
        <f t="shared" si="11"/>
        <v>-115130000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787</v>
      </c>
      <c r="H69" s="36">
        <f t="shared" si="8"/>
        <v>1</v>
      </c>
      <c r="I69" s="11">
        <f t="shared" si="9"/>
        <v>770280000</v>
      </c>
      <c r="J69" s="53">
        <f t="shared" si="10"/>
        <v>0</v>
      </c>
      <c r="K69" s="53">
        <f t="shared" si="11"/>
        <v>770280000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784</v>
      </c>
      <c r="H70" s="36">
        <f t="shared" si="8"/>
        <v>0</v>
      </c>
      <c r="I70" s="11">
        <f t="shared" si="9"/>
        <v>-36064000</v>
      </c>
      <c r="J70" s="53">
        <f t="shared" si="10"/>
        <v>0</v>
      </c>
      <c r="K70" s="53">
        <f t="shared" si="11"/>
        <v>-36064000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782</v>
      </c>
      <c r="H71" s="36">
        <f t="shared" si="8"/>
        <v>1</v>
      </c>
      <c r="I71" s="11">
        <f t="shared" si="9"/>
        <v>90078978</v>
      </c>
      <c r="J71" s="53">
        <f t="shared" si="10"/>
        <v>81077172</v>
      </c>
      <c r="K71" s="53">
        <f t="shared" si="11"/>
        <v>9001806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781</v>
      </c>
      <c r="H72" s="36">
        <f t="shared" si="8"/>
        <v>0</v>
      </c>
      <c r="I72" s="11">
        <f t="shared" si="9"/>
        <v>-118687789</v>
      </c>
      <c r="J72" s="53">
        <f t="shared" si="10"/>
        <v>0</v>
      </c>
      <c r="K72" s="53">
        <f t="shared" si="11"/>
        <v>-118687789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780</v>
      </c>
      <c r="H73" s="36">
        <f t="shared" si="8"/>
        <v>0</v>
      </c>
      <c r="I73" s="11">
        <f t="shared" si="9"/>
        <v>-628290000</v>
      </c>
      <c r="J73" s="53">
        <f t="shared" si="10"/>
        <v>0</v>
      </c>
      <c r="K73" s="53">
        <f t="shared" si="11"/>
        <v>-628290000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773</v>
      </c>
      <c r="H74" s="36">
        <f t="shared" si="8"/>
        <v>1</v>
      </c>
      <c r="I74" s="11">
        <f t="shared" si="9"/>
        <v>5400140000</v>
      </c>
      <c r="J74" s="53">
        <f t="shared" si="10"/>
        <v>0</v>
      </c>
      <c r="K74" s="53">
        <f t="shared" si="11"/>
        <v>5400140000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772</v>
      </c>
      <c r="H75" s="36">
        <f t="shared" si="8"/>
        <v>1</v>
      </c>
      <c r="I75" s="11">
        <f t="shared" si="9"/>
        <v>2313000000</v>
      </c>
      <c r="J75" s="53">
        <f t="shared" si="10"/>
        <v>0</v>
      </c>
      <c r="K75" s="53">
        <f t="shared" si="11"/>
        <v>2313000000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770</v>
      </c>
      <c r="H76" s="36">
        <f t="shared" si="8"/>
        <v>1</v>
      </c>
      <c r="I76" s="11">
        <f t="shared" si="9"/>
        <v>2307000000</v>
      </c>
      <c r="J76" s="53">
        <f t="shared" si="10"/>
        <v>0</v>
      </c>
      <c r="K76" s="53">
        <f t="shared" si="11"/>
        <v>2307000000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769</v>
      </c>
      <c r="H77" s="36">
        <f t="shared" si="8"/>
        <v>1</v>
      </c>
      <c r="I77" s="11">
        <f t="shared" si="9"/>
        <v>2304000000</v>
      </c>
      <c r="J77" s="53">
        <f t="shared" si="10"/>
        <v>0</v>
      </c>
      <c r="K77" s="53">
        <f t="shared" si="11"/>
        <v>2304000000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768</v>
      </c>
      <c r="H78" s="36">
        <f t="shared" si="8"/>
        <v>0</v>
      </c>
      <c r="I78" s="11">
        <f t="shared" si="9"/>
        <v>-2457600000</v>
      </c>
      <c r="J78" s="53">
        <f t="shared" si="10"/>
        <v>-2457600000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767</v>
      </c>
      <c r="H79" s="36">
        <f t="shared" si="8"/>
        <v>0</v>
      </c>
      <c r="I79" s="11">
        <f t="shared" si="9"/>
        <v>-613600000</v>
      </c>
      <c r="J79" s="53">
        <f t="shared" si="10"/>
        <v>-613600000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766</v>
      </c>
      <c r="H80" s="36">
        <f t="shared" si="8"/>
        <v>0</v>
      </c>
      <c r="I80" s="11">
        <f t="shared" si="9"/>
        <v>-37069038</v>
      </c>
      <c r="J80" s="53">
        <f t="shared" si="10"/>
        <v>0</v>
      </c>
      <c r="K80" s="53">
        <f t="shared" si="11"/>
        <v>-37069038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765</v>
      </c>
      <c r="H81" s="36">
        <f t="shared" si="8"/>
        <v>0</v>
      </c>
      <c r="I81" s="11">
        <f t="shared" si="9"/>
        <v>-107100000</v>
      </c>
      <c r="J81" s="53">
        <f t="shared" si="10"/>
        <v>0</v>
      </c>
      <c r="K81" s="53">
        <f t="shared" si="11"/>
        <v>-107100000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764</v>
      </c>
      <c r="H82" s="36">
        <f t="shared" si="8"/>
        <v>0</v>
      </c>
      <c r="I82" s="11">
        <f t="shared" si="9"/>
        <v>-191000000</v>
      </c>
      <c r="J82" s="53">
        <f t="shared" si="10"/>
        <v>0</v>
      </c>
      <c r="K82" s="53">
        <f t="shared" si="11"/>
        <v>-191000000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763</v>
      </c>
      <c r="H83" s="36">
        <f t="shared" si="8"/>
        <v>0</v>
      </c>
      <c r="I83" s="11">
        <f t="shared" si="9"/>
        <v>-152600000</v>
      </c>
      <c r="J83" s="53">
        <f t="shared" si="10"/>
        <v>0</v>
      </c>
      <c r="K83" s="53">
        <f t="shared" si="11"/>
        <v>-152600000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760</v>
      </c>
      <c r="H84" s="36">
        <f t="shared" si="8"/>
        <v>1</v>
      </c>
      <c r="I84" s="11">
        <f t="shared" si="9"/>
        <v>1241116800</v>
      </c>
      <c r="J84" s="53">
        <f t="shared" si="10"/>
        <v>0</v>
      </c>
      <c r="K84" s="53">
        <f t="shared" si="11"/>
        <v>1241116800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756</v>
      </c>
      <c r="H85" s="36">
        <f t="shared" si="8"/>
        <v>1</v>
      </c>
      <c r="I85" s="11">
        <f t="shared" si="9"/>
        <v>1887500000</v>
      </c>
      <c r="J85" s="53">
        <f t="shared" si="10"/>
        <v>0</v>
      </c>
      <c r="K85" s="53">
        <f t="shared" si="11"/>
        <v>1887500000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752</v>
      </c>
      <c r="H86" s="36">
        <f t="shared" si="8"/>
        <v>1</v>
      </c>
      <c r="I86" s="11">
        <f t="shared" si="9"/>
        <v>139911300</v>
      </c>
      <c r="J86" s="53">
        <f t="shared" si="10"/>
        <v>63797450</v>
      </c>
      <c r="K86" s="53">
        <f t="shared" si="11"/>
        <v>76113850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749</v>
      </c>
      <c r="H87" s="36">
        <f t="shared" si="8"/>
        <v>0</v>
      </c>
      <c r="I87" s="11">
        <f t="shared" si="9"/>
        <v>-149800000</v>
      </c>
      <c r="J87" s="53">
        <f t="shared" si="10"/>
        <v>0</v>
      </c>
      <c r="K87" s="53">
        <f t="shared" si="11"/>
        <v>-149800000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748</v>
      </c>
      <c r="H88" s="36">
        <f t="shared" si="8"/>
        <v>0</v>
      </c>
      <c r="I88" s="11">
        <f t="shared" si="9"/>
        <v>-88264000</v>
      </c>
      <c r="J88" s="53">
        <f t="shared" si="10"/>
        <v>-51612000</v>
      </c>
      <c r="K88" s="53">
        <f t="shared" si="11"/>
        <v>-36652000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740</v>
      </c>
      <c r="H89" s="36">
        <f t="shared" si="8"/>
        <v>0</v>
      </c>
      <c r="I89" s="11">
        <f t="shared" si="9"/>
        <v>-2368666000</v>
      </c>
      <c r="J89" s="53">
        <f t="shared" si="10"/>
        <v>0</v>
      </c>
      <c r="K89" s="53">
        <f t="shared" si="11"/>
        <v>-2368666000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739</v>
      </c>
      <c r="H90" s="36">
        <f t="shared" si="8"/>
        <v>0</v>
      </c>
      <c r="I90" s="11">
        <f t="shared" si="9"/>
        <v>-2365465100</v>
      </c>
      <c r="J90" s="53">
        <f t="shared" si="10"/>
        <v>0</v>
      </c>
      <c r="K90" s="53">
        <f t="shared" si="11"/>
        <v>-2365465100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738</v>
      </c>
      <c r="H91" s="36">
        <f t="shared" si="8"/>
        <v>0</v>
      </c>
      <c r="I91" s="11">
        <f t="shared" si="9"/>
        <v>-2362264200</v>
      </c>
      <c r="J91" s="53">
        <f t="shared" si="10"/>
        <v>0</v>
      </c>
      <c r="K91" s="53">
        <f t="shared" si="11"/>
        <v>-2362264200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737</v>
      </c>
      <c r="H92" s="36">
        <f t="shared" si="8"/>
        <v>0</v>
      </c>
      <c r="I92" s="11">
        <f t="shared" si="9"/>
        <v>-2359063300</v>
      </c>
      <c r="J92" s="53">
        <f t="shared" si="10"/>
        <v>0</v>
      </c>
      <c r="K92" s="53">
        <f t="shared" si="11"/>
        <v>-2359063300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736</v>
      </c>
      <c r="H93" s="36">
        <f t="shared" si="8"/>
        <v>0</v>
      </c>
      <c r="I93" s="11">
        <f t="shared" si="9"/>
        <v>-2355862400</v>
      </c>
      <c r="J93" s="53">
        <f t="shared" si="10"/>
        <v>0</v>
      </c>
      <c r="K93" s="53">
        <f t="shared" si="11"/>
        <v>-2355862400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735</v>
      </c>
      <c r="H94" s="36">
        <f t="shared" si="8"/>
        <v>0</v>
      </c>
      <c r="I94" s="11">
        <f t="shared" si="9"/>
        <v>-2352661500</v>
      </c>
      <c r="J94" s="53">
        <f t="shared" si="10"/>
        <v>0</v>
      </c>
      <c r="K94" s="53">
        <f t="shared" si="11"/>
        <v>-2352661500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733</v>
      </c>
      <c r="H95" s="36">
        <f t="shared" si="8"/>
        <v>0</v>
      </c>
      <c r="I95" s="11">
        <f t="shared" si="9"/>
        <v>-877104868</v>
      </c>
      <c r="J95" s="53">
        <f t="shared" si="10"/>
        <v>0</v>
      </c>
      <c r="K95" s="53">
        <f t="shared" si="11"/>
        <v>-877104868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723</v>
      </c>
      <c r="H96" s="36">
        <f t="shared" si="8"/>
        <v>0</v>
      </c>
      <c r="I96" s="11">
        <f t="shared" si="9"/>
        <v>-144600000</v>
      </c>
      <c r="J96" s="53">
        <f t="shared" si="10"/>
        <v>0</v>
      </c>
      <c r="K96" s="53">
        <f t="shared" si="11"/>
        <v>-144600000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722</v>
      </c>
      <c r="H97" s="36">
        <f t="shared" si="8"/>
        <v>1</v>
      </c>
      <c r="I97" s="11">
        <f t="shared" si="9"/>
        <v>115041318</v>
      </c>
      <c r="J97" s="53">
        <f t="shared" si="10"/>
        <v>49695646</v>
      </c>
      <c r="K97" s="53">
        <f t="shared" si="11"/>
        <v>65345672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717</v>
      </c>
      <c r="H98" s="36">
        <f t="shared" si="8"/>
        <v>1</v>
      </c>
      <c r="I98" s="11">
        <f t="shared" si="9"/>
        <v>81887488</v>
      </c>
      <c r="J98" s="53">
        <f t="shared" si="10"/>
        <v>0</v>
      </c>
      <c r="K98" s="53">
        <f t="shared" si="11"/>
        <v>81887488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714</v>
      </c>
      <c r="H99" s="36">
        <f t="shared" si="8"/>
        <v>0</v>
      </c>
      <c r="I99" s="11">
        <f t="shared" si="9"/>
        <v>-946050000</v>
      </c>
      <c r="J99" s="53">
        <f t="shared" si="10"/>
        <v>0</v>
      </c>
      <c r="K99" s="53">
        <f t="shared" si="11"/>
        <v>-946050000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709</v>
      </c>
      <c r="H100" s="36">
        <f t="shared" si="8"/>
        <v>1</v>
      </c>
      <c r="I100" s="11">
        <f t="shared" si="9"/>
        <v>938100000</v>
      </c>
      <c r="J100" s="53">
        <f t="shared" si="10"/>
        <v>0</v>
      </c>
      <c r="K100" s="53">
        <f t="shared" si="11"/>
        <v>938100000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692</v>
      </c>
      <c r="H101" s="36">
        <f t="shared" si="8"/>
        <v>1</v>
      </c>
      <c r="I101" s="11">
        <f t="shared" si="9"/>
        <v>46189895</v>
      </c>
      <c r="J101" s="53">
        <f t="shared" si="10"/>
        <v>46189895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689</v>
      </c>
      <c r="H102" s="36">
        <f t="shared" si="8"/>
        <v>1</v>
      </c>
      <c r="I102" s="11">
        <f t="shared" si="9"/>
        <v>2064000000</v>
      </c>
      <c r="J102" s="53">
        <f t="shared" si="10"/>
        <v>0</v>
      </c>
      <c r="K102" s="53">
        <f t="shared" si="11"/>
        <v>2064000000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682</v>
      </c>
      <c r="H103" s="36">
        <f t="shared" si="8"/>
        <v>0</v>
      </c>
      <c r="I103" s="11">
        <f t="shared" si="9"/>
        <v>-682000000</v>
      </c>
      <c r="J103" s="53">
        <f t="shared" si="10"/>
        <v>-682000000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672</v>
      </c>
      <c r="H104" s="36">
        <f t="shared" si="8"/>
        <v>1</v>
      </c>
      <c r="I104" s="11">
        <f t="shared" si="9"/>
        <v>2013000000</v>
      </c>
      <c r="J104" s="53">
        <f t="shared" si="10"/>
        <v>2013000000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671</v>
      </c>
      <c r="H105" s="36">
        <f t="shared" si="8"/>
        <v>1</v>
      </c>
      <c r="I105" s="11">
        <f t="shared" si="9"/>
        <v>750400000</v>
      </c>
      <c r="J105" s="53">
        <f t="shared" si="10"/>
        <v>750400000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671</v>
      </c>
      <c r="H106" s="36">
        <f t="shared" si="8"/>
        <v>0</v>
      </c>
      <c r="I106" s="11">
        <f t="shared" si="9"/>
        <v>-2013000000</v>
      </c>
      <c r="J106" s="53">
        <f t="shared" si="10"/>
        <v>0</v>
      </c>
      <c r="K106" s="53">
        <f t="shared" si="11"/>
        <v>-2013000000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662</v>
      </c>
      <c r="H107" s="36">
        <f t="shared" si="8"/>
        <v>1</v>
      </c>
      <c r="I107" s="11">
        <f t="shared" si="9"/>
        <v>59816534</v>
      </c>
      <c r="J107" s="53">
        <f t="shared" si="10"/>
        <v>49651015</v>
      </c>
      <c r="K107" s="53">
        <f t="shared" si="11"/>
        <v>10165519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660</v>
      </c>
      <c r="H108" s="36">
        <f t="shared" si="8"/>
        <v>0</v>
      </c>
      <c r="I108" s="11">
        <f t="shared" si="9"/>
        <v>-1122462000</v>
      </c>
      <c r="J108" s="53">
        <f t="shared" si="10"/>
        <v>0</v>
      </c>
      <c r="K108" s="53">
        <f t="shared" si="11"/>
        <v>-1122462000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656</v>
      </c>
      <c r="H109" s="36">
        <f t="shared" si="8"/>
        <v>0</v>
      </c>
      <c r="I109" s="11">
        <f t="shared" si="9"/>
        <v>-656328000</v>
      </c>
      <c r="J109" s="53">
        <f t="shared" si="10"/>
        <v>0</v>
      </c>
      <c r="K109" s="53">
        <f t="shared" si="11"/>
        <v>-656328000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653</v>
      </c>
      <c r="H110" s="36">
        <f t="shared" si="8"/>
        <v>1</v>
      </c>
      <c r="I110" s="11">
        <f t="shared" si="9"/>
        <v>13040000000</v>
      </c>
      <c r="J110" s="53">
        <f t="shared" si="10"/>
        <v>0</v>
      </c>
      <c r="K110" s="53">
        <f t="shared" si="11"/>
        <v>13040000000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633</v>
      </c>
      <c r="H111" s="36">
        <f t="shared" si="8"/>
        <v>1</v>
      </c>
      <c r="I111" s="11">
        <f t="shared" si="9"/>
        <v>110396496</v>
      </c>
      <c r="J111" s="53">
        <f t="shared" si="10"/>
        <v>55213416</v>
      </c>
      <c r="K111" s="53">
        <f t="shared" si="11"/>
        <v>55183080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617</v>
      </c>
      <c r="H112" s="36">
        <f t="shared" si="8"/>
        <v>0</v>
      </c>
      <c r="I112" s="11">
        <f t="shared" si="9"/>
        <v>-17522800000</v>
      </c>
      <c r="J112" s="53">
        <f t="shared" si="10"/>
        <v>0</v>
      </c>
      <c r="K112" s="53">
        <f t="shared" si="11"/>
        <v>-17522800000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602</v>
      </c>
      <c r="H113" s="36">
        <f t="shared" si="8"/>
        <v>1</v>
      </c>
      <c r="I113" s="11">
        <f t="shared" si="9"/>
        <v>97987040</v>
      </c>
      <c r="J113" s="53">
        <f t="shared" si="10"/>
        <v>73629111</v>
      </c>
      <c r="K113" s="53">
        <f t="shared" si="11"/>
        <v>24357929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602</v>
      </c>
      <c r="H114" s="36">
        <f t="shared" si="8"/>
        <v>0</v>
      </c>
      <c r="I114" s="11">
        <f t="shared" si="9"/>
        <v>-3431400</v>
      </c>
      <c r="J114" s="53">
        <f t="shared" si="10"/>
        <v>-1505000</v>
      </c>
      <c r="K114" s="53">
        <f t="shared" si="11"/>
        <v>-1926400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589</v>
      </c>
      <c r="H115" s="36">
        <f t="shared" si="8"/>
        <v>0</v>
      </c>
      <c r="I115" s="11">
        <f t="shared" si="9"/>
        <v>0</v>
      </c>
      <c r="J115" s="53">
        <f t="shared" si="10"/>
        <v>294500000</v>
      </c>
      <c r="K115" s="53">
        <f t="shared" si="11"/>
        <v>-294500000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581</v>
      </c>
      <c r="H116" s="36">
        <f t="shared" si="8"/>
        <v>0</v>
      </c>
      <c r="I116" s="11">
        <f t="shared" si="9"/>
        <v>-92960000</v>
      </c>
      <c r="J116" s="53">
        <f t="shared" si="10"/>
        <v>0</v>
      </c>
      <c r="K116" s="53">
        <f t="shared" si="11"/>
        <v>-92960000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572</v>
      </c>
      <c r="H117" s="36">
        <f t="shared" si="8"/>
        <v>1</v>
      </c>
      <c r="I117" s="11">
        <f t="shared" si="9"/>
        <v>845080</v>
      </c>
      <c r="J117" s="53">
        <f t="shared" si="10"/>
        <v>61063311</v>
      </c>
      <c r="K117" s="53">
        <f t="shared" si="11"/>
        <v>-60218231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550</v>
      </c>
      <c r="H118" s="36">
        <f t="shared" si="8"/>
        <v>1</v>
      </c>
      <c r="I118" s="11">
        <f t="shared" si="9"/>
        <v>21630325500</v>
      </c>
      <c r="J118" s="53">
        <f t="shared" si="10"/>
        <v>0</v>
      </c>
      <c r="K118" s="53">
        <f t="shared" si="11"/>
        <v>21630325500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541</v>
      </c>
      <c r="H119" s="36">
        <f t="shared" si="8"/>
        <v>1</v>
      </c>
      <c r="I119" s="11">
        <f t="shared" si="9"/>
        <v>51581340</v>
      </c>
      <c r="J119" s="53">
        <f t="shared" si="10"/>
        <v>59429160</v>
      </c>
      <c r="K119" s="53">
        <f t="shared" si="11"/>
        <v>-7847820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537</v>
      </c>
      <c r="H120" s="11">
        <f t="shared" si="8"/>
        <v>1</v>
      </c>
      <c r="I120" s="11">
        <f t="shared" ref="I120:I269" si="13">B120*(G120-H120)</f>
        <v>1072000000</v>
      </c>
      <c r="J120" s="11">
        <f t="shared" si="10"/>
        <v>0</v>
      </c>
      <c r="K120" s="11">
        <f t="shared" si="11"/>
        <v>1072000000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511</v>
      </c>
      <c r="H121" s="11">
        <f t="shared" si="8"/>
        <v>1</v>
      </c>
      <c r="I121" s="11">
        <f t="shared" si="13"/>
        <v>1326000000</v>
      </c>
      <c r="J121" s="11">
        <f t="shared" si="10"/>
        <v>0</v>
      </c>
      <c r="K121" s="11">
        <f t="shared" si="11"/>
        <v>1326000000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510</v>
      </c>
      <c r="H122" s="11">
        <f t="shared" si="8"/>
        <v>1</v>
      </c>
      <c r="I122" s="11">
        <f t="shared" si="13"/>
        <v>195736459</v>
      </c>
      <c r="J122" s="11">
        <f t="shared" si="10"/>
        <v>56452172</v>
      </c>
      <c r="K122" s="11">
        <f t="shared" si="11"/>
        <v>139284287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509</v>
      </c>
      <c r="H123" s="11">
        <f t="shared" si="8"/>
        <v>0</v>
      </c>
      <c r="I123" s="11">
        <f t="shared" si="13"/>
        <v>0</v>
      </c>
      <c r="J123" s="11">
        <f t="shared" si="10"/>
        <v>407200000</v>
      </c>
      <c r="K123" s="11">
        <f t="shared" si="11"/>
        <v>-407200000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495</v>
      </c>
      <c r="H124" s="11">
        <f t="shared" si="8"/>
        <v>0</v>
      </c>
      <c r="I124" s="11">
        <f t="shared" si="13"/>
        <v>-1485000000</v>
      </c>
      <c r="J124" s="11">
        <f t="shared" si="10"/>
        <v>0</v>
      </c>
      <c r="K124" s="11">
        <f t="shared" si="11"/>
        <v>-1485000000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480</v>
      </c>
      <c r="H125" s="11">
        <f t="shared" si="8"/>
        <v>1</v>
      </c>
      <c r="I125" s="11">
        <f t="shared" si="13"/>
        <v>191940090</v>
      </c>
      <c r="J125" s="11">
        <f t="shared" si="10"/>
        <v>56941125</v>
      </c>
      <c r="K125" s="11">
        <f t="shared" si="11"/>
        <v>134998965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480</v>
      </c>
      <c r="H126" s="11">
        <f t="shared" si="8"/>
        <v>1</v>
      </c>
      <c r="I126" s="11">
        <f t="shared" si="13"/>
        <v>20118000000</v>
      </c>
      <c r="J126" s="11">
        <f t="shared" si="10"/>
        <v>0</v>
      </c>
      <c r="K126" s="11">
        <f t="shared" si="11"/>
        <v>20118000000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455</v>
      </c>
      <c r="H127" s="11">
        <f t="shared" si="8"/>
        <v>0</v>
      </c>
      <c r="I127" s="11">
        <f t="shared" si="13"/>
        <v>-2275000</v>
      </c>
      <c r="J127" s="11">
        <f t="shared" si="10"/>
        <v>0</v>
      </c>
      <c r="K127" s="11">
        <f t="shared" si="11"/>
        <v>-2275000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449</v>
      </c>
      <c r="H128" s="11">
        <f t="shared" si="8"/>
        <v>1</v>
      </c>
      <c r="I128" s="11">
        <f t="shared" si="13"/>
        <v>345575552</v>
      </c>
      <c r="J128" s="11">
        <f t="shared" si="10"/>
        <v>54072256</v>
      </c>
      <c r="K128" s="11">
        <f t="shared" si="11"/>
        <v>291503296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446</v>
      </c>
      <c r="H129" s="11">
        <f t="shared" si="8"/>
        <v>1</v>
      </c>
      <c r="I129" s="11">
        <f t="shared" si="13"/>
        <v>1112500000</v>
      </c>
      <c r="J129" s="11">
        <f t="shared" si="10"/>
        <v>0</v>
      </c>
      <c r="K129" s="11">
        <f t="shared" si="11"/>
        <v>1112500000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432</v>
      </c>
      <c r="H130" s="11">
        <f t="shared" si="8"/>
        <v>0</v>
      </c>
      <c r="I130" s="11">
        <f t="shared" si="13"/>
        <v>-432000000</v>
      </c>
      <c r="J130" s="11">
        <f t="shared" si="10"/>
        <v>-432000000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427</v>
      </c>
      <c r="H131" s="11">
        <f t="shared" si="8"/>
        <v>0</v>
      </c>
      <c r="I131" s="11">
        <f t="shared" si="13"/>
        <v>-21350000000</v>
      </c>
      <c r="J131" s="11">
        <f t="shared" si="10"/>
        <v>0</v>
      </c>
      <c r="K131" s="11">
        <f t="shared" si="11"/>
        <v>-21350000000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419</v>
      </c>
      <c r="H132" s="11">
        <f t="shared" ref="H132:H269" si="15">IF(B132&gt;0,1,0)</f>
        <v>1</v>
      </c>
      <c r="I132" s="11">
        <f t="shared" si="13"/>
        <v>256771966</v>
      </c>
      <c r="J132" s="11">
        <f t="shared" ref="J132:J206" si="16">C132*(G132-H132)</f>
        <v>44295878</v>
      </c>
      <c r="K132" s="11">
        <f t="shared" ref="K132:K269" si="17">D132*(G132-H132)</f>
        <v>212476088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415</v>
      </c>
      <c r="H133" s="11">
        <f t="shared" si="15"/>
        <v>0</v>
      </c>
      <c r="I133" s="11">
        <f t="shared" si="13"/>
        <v>-502440500</v>
      </c>
      <c r="J133" s="11">
        <f t="shared" si="16"/>
        <v>0</v>
      </c>
      <c r="K133" s="11">
        <f t="shared" si="17"/>
        <v>-502440500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406</v>
      </c>
      <c r="H134" s="11">
        <f t="shared" si="15"/>
        <v>0</v>
      </c>
      <c r="I134" s="11">
        <f t="shared" si="13"/>
        <v>-26390000</v>
      </c>
      <c r="J134" s="11">
        <f t="shared" si="16"/>
        <v>0</v>
      </c>
      <c r="K134" s="11">
        <f t="shared" si="17"/>
        <v>-26390000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406</v>
      </c>
      <c r="H135" s="11">
        <f t="shared" si="15"/>
        <v>0</v>
      </c>
      <c r="I135" s="11">
        <f t="shared" si="13"/>
        <v>-13113800</v>
      </c>
      <c r="J135" s="11">
        <f t="shared" si="16"/>
        <v>0</v>
      </c>
      <c r="K135" s="11">
        <f t="shared" si="17"/>
        <v>-13113800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398</v>
      </c>
      <c r="H136" s="11">
        <f t="shared" si="15"/>
        <v>0</v>
      </c>
      <c r="I136" s="11">
        <f t="shared" si="13"/>
        <v>-398000000</v>
      </c>
      <c r="J136" s="11">
        <f t="shared" si="16"/>
        <v>-398000000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389</v>
      </c>
      <c r="H137" s="11">
        <f t="shared" si="15"/>
        <v>1</v>
      </c>
      <c r="I137" s="11">
        <f t="shared" si="13"/>
        <v>112858724</v>
      </c>
      <c r="J137" s="11">
        <f t="shared" si="16"/>
        <v>37775292</v>
      </c>
      <c r="K137" s="11">
        <f t="shared" si="17"/>
        <v>75083432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372</v>
      </c>
      <c r="H138" s="11">
        <f t="shared" si="15"/>
        <v>0</v>
      </c>
      <c r="I138" s="11">
        <f t="shared" si="13"/>
        <v>-372186000</v>
      </c>
      <c r="J138" s="11">
        <f t="shared" si="16"/>
        <v>-372186000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360</v>
      </c>
      <c r="H139" s="11">
        <f t="shared" si="15"/>
        <v>1</v>
      </c>
      <c r="I139" s="11">
        <f t="shared" si="13"/>
        <v>101324160</v>
      </c>
      <c r="J139" s="11">
        <f t="shared" si="16"/>
        <v>31881713</v>
      </c>
      <c r="K139" s="11">
        <f t="shared" si="17"/>
        <v>69442447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357</v>
      </c>
      <c r="H140" s="11">
        <f t="shared" si="15"/>
        <v>1</v>
      </c>
      <c r="I140" s="11">
        <f t="shared" si="13"/>
        <v>534000000</v>
      </c>
      <c r="J140" s="11">
        <f t="shared" si="16"/>
        <v>0</v>
      </c>
      <c r="K140" s="11">
        <f t="shared" si="17"/>
        <v>534000000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344</v>
      </c>
      <c r="H141" s="11">
        <f t="shared" si="15"/>
        <v>0</v>
      </c>
      <c r="I141" s="11">
        <f t="shared" si="13"/>
        <v>0</v>
      </c>
      <c r="J141" s="11">
        <f t="shared" si="16"/>
        <v>-344000000</v>
      </c>
      <c r="K141" s="11">
        <f t="shared" si="17"/>
        <v>344000000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330</v>
      </c>
      <c r="H142" s="11">
        <f t="shared" si="15"/>
        <v>1</v>
      </c>
      <c r="I142" s="11">
        <f t="shared" si="13"/>
        <v>95703797</v>
      </c>
      <c r="J142" s="11">
        <f t="shared" si="16"/>
        <v>26656238</v>
      </c>
      <c r="K142" s="11">
        <f t="shared" si="17"/>
        <v>69047559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310</v>
      </c>
      <c r="H143" s="11">
        <f t="shared" si="15"/>
        <v>0</v>
      </c>
      <c r="I143" s="11">
        <f t="shared" si="13"/>
        <v>0</v>
      </c>
      <c r="J143" s="11">
        <f t="shared" si="16"/>
        <v>-310000000</v>
      </c>
      <c r="K143" s="11">
        <f t="shared" si="17"/>
        <v>310000000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300</v>
      </c>
      <c r="H144" s="11">
        <f t="shared" si="15"/>
        <v>1</v>
      </c>
      <c r="I144" s="11">
        <f t="shared" si="13"/>
        <v>88160748</v>
      </c>
      <c r="J144" s="11">
        <f t="shared" si="16"/>
        <v>22322443</v>
      </c>
      <c r="K144" s="11">
        <f t="shared" si="17"/>
        <v>65838305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285</v>
      </c>
      <c r="H145" s="11">
        <f t="shared" si="15"/>
        <v>0</v>
      </c>
      <c r="I145" s="11">
        <f t="shared" si="13"/>
        <v>-2850000</v>
      </c>
      <c r="J145" s="11">
        <f t="shared" si="16"/>
        <v>-1425000</v>
      </c>
      <c r="K145" s="11">
        <f t="shared" si="17"/>
        <v>-1425000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280</v>
      </c>
      <c r="H146" s="11">
        <f t="shared" si="15"/>
        <v>0</v>
      </c>
      <c r="I146" s="11">
        <f t="shared" si="13"/>
        <v>-280140000</v>
      </c>
      <c r="J146" s="11">
        <f t="shared" si="16"/>
        <v>-280140000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274</v>
      </c>
      <c r="H147" s="11">
        <f t="shared" si="15"/>
        <v>0</v>
      </c>
      <c r="I147" s="11">
        <f t="shared" si="13"/>
        <v>-7398000000</v>
      </c>
      <c r="J147" s="11">
        <f t="shared" si="16"/>
        <v>0</v>
      </c>
      <c r="K147" s="11">
        <f t="shared" si="17"/>
        <v>-7398000000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271</v>
      </c>
      <c r="H148" s="11">
        <f t="shared" si="15"/>
        <v>1</v>
      </c>
      <c r="I148" s="11">
        <f t="shared" si="13"/>
        <v>68157720</v>
      </c>
      <c r="J148" s="11">
        <f t="shared" si="16"/>
        <v>17687700</v>
      </c>
      <c r="K148" s="11">
        <f t="shared" si="17"/>
        <v>50470020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9" si="18">B149-C149</f>
        <v>52400000</v>
      </c>
      <c r="E149" s="11" t="s">
        <v>1074</v>
      </c>
      <c r="F149" s="11">
        <v>7</v>
      </c>
      <c r="G149" s="36">
        <f t="shared" si="14"/>
        <v>263</v>
      </c>
      <c r="H149" s="11">
        <f t="shared" si="15"/>
        <v>1</v>
      </c>
      <c r="I149" s="11">
        <f t="shared" si="13"/>
        <v>13728800000</v>
      </c>
      <c r="J149" s="11">
        <f t="shared" si="16"/>
        <v>0</v>
      </c>
      <c r="K149" s="11">
        <f t="shared" si="17"/>
        <v>13728800000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256</v>
      </c>
      <c r="H150" s="11">
        <f t="shared" si="15"/>
        <v>0</v>
      </c>
      <c r="I150" s="11">
        <f t="shared" si="13"/>
        <v>-13312000000</v>
      </c>
      <c r="J150" s="11">
        <f t="shared" si="16"/>
        <v>0</v>
      </c>
      <c r="K150" s="11">
        <f t="shared" si="17"/>
        <v>-13312000000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251</v>
      </c>
      <c r="H151" s="99">
        <f t="shared" si="15"/>
        <v>0</v>
      </c>
      <c r="I151" s="99">
        <f t="shared" si="13"/>
        <v>-2008000000</v>
      </c>
      <c r="J151" s="99">
        <f t="shared" si="16"/>
        <v>-1699804881</v>
      </c>
      <c r="K151" s="11">
        <f t="shared" si="17"/>
        <v>-308195119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251</v>
      </c>
      <c r="H152" s="99">
        <f t="shared" si="15"/>
        <v>0</v>
      </c>
      <c r="I152" s="99">
        <f t="shared" si="13"/>
        <v>-7838730</v>
      </c>
      <c r="J152" s="99">
        <f t="shared" si="16"/>
        <v>0</v>
      </c>
      <c r="K152" s="99">
        <f t="shared" si="17"/>
        <v>-7838730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240</v>
      </c>
      <c r="H153" s="99">
        <f t="shared" si="15"/>
        <v>1</v>
      </c>
      <c r="I153" s="99">
        <f t="shared" si="13"/>
        <v>32285793</v>
      </c>
      <c r="J153" s="99">
        <f t="shared" si="16"/>
        <v>9830070</v>
      </c>
      <c r="K153" s="99">
        <f t="shared" si="17"/>
        <v>22455723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237</v>
      </c>
      <c r="H154" s="99">
        <f t="shared" si="15"/>
        <v>1</v>
      </c>
      <c r="I154" s="99">
        <f t="shared" si="13"/>
        <v>1610483352</v>
      </c>
      <c r="J154" s="99">
        <f t="shared" si="16"/>
        <v>1610483352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232</v>
      </c>
      <c r="H155" s="99">
        <f t="shared" si="15"/>
        <v>0</v>
      </c>
      <c r="I155" s="99">
        <f t="shared" si="13"/>
        <v>-46400000</v>
      </c>
      <c r="J155" s="99">
        <f t="shared" si="16"/>
        <v>0</v>
      </c>
      <c r="K155" s="99">
        <f t="shared" si="17"/>
        <v>-46400000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232</v>
      </c>
      <c r="H156" s="99">
        <f t="shared" si="15"/>
        <v>0</v>
      </c>
      <c r="I156" s="99">
        <f t="shared" si="13"/>
        <v>-57498880</v>
      </c>
      <c r="J156" s="99">
        <f t="shared" si="16"/>
        <v>0</v>
      </c>
      <c r="K156" s="99">
        <f t="shared" si="17"/>
        <v>-57498880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231</v>
      </c>
      <c r="H157" s="99">
        <f t="shared" si="15"/>
        <v>0</v>
      </c>
      <c r="I157" s="99">
        <f t="shared" si="13"/>
        <v>-37500540</v>
      </c>
      <c r="J157" s="99">
        <f t="shared" si="16"/>
        <v>0</v>
      </c>
      <c r="K157" s="99">
        <f t="shared" si="17"/>
        <v>-37500540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231</v>
      </c>
      <c r="H158" s="99">
        <f t="shared" si="15"/>
        <v>0</v>
      </c>
      <c r="I158" s="99">
        <f t="shared" si="13"/>
        <v>-693207900</v>
      </c>
      <c r="J158" s="99">
        <f t="shared" si="16"/>
        <v>0</v>
      </c>
      <c r="K158" s="99">
        <f t="shared" si="17"/>
        <v>-693207900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229</v>
      </c>
      <c r="H159" s="99">
        <f t="shared" si="15"/>
        <v>0</v>
      </c>
      <c r="I159" s="99">
        <f t="shared" si="13"/>
        <v>-229114500</v>
      </c>
      <c r="J159" s="99">
        <f t="shared" si="16"/>
        <v>0</v>
      </c>
      <c r="K159" s="99">
        <f t="shared" si="17"/>
        <v>-229114500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225</v>
      </c>
      <c r="H160" s="99">
        <f t="shared" si="15"/>
        <v>0</v>
      </c>
      <c r="I160" s="99">
        <f t="shared" si="13"/>
        <v>-22500000</v>
      </c>
      <c r="J160" s="99">
        <f t="shared" si="16"/>
        <v>0</v>
      </c>
      <c r="K160" s="99">
        <f t="shared" si="17"/>
        <v>-22500000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224</v>
      </c>
      <c r="H161" s="99">
        <f t="shared" si="15"/>
        <v>0</v>
      </c>
      <c r="I161" s="99">
        <f t="shared" si="13"/>
        <v>-448000000</v>
      </c>
      <c r="J161" s="99">
        <f t="shared" si="16"/>
        <v>0</v>
      </c>
      <c r="K161" s="99">
        <f t="shared" si="17"/>
        <v>-448000000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224</v>
      </c>
      <c r="H162" s="99">
        <f t="shared" si="15"/>
        <v>0</v>
      </c>
      <c r="I162" s="99">
        <f t="shared" si="13"/>
        <v>-224112000</v>
      </c>
      <c r="J162" s="99">
        <f t="shared" si="16"/>
        <v>0</v>
      </c>
      <c r="K162" s="99">
        <f t="shared" si="17"/>
        <v>-224112000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221</v>
      </c>
      <c r="H163" s="99">
        <f t="shared" si="15"/>
        <v>0</v>
      </c>
      <c r="I163" s="99">
        <f t="shared" si="13"/>
        <v>-1105000</v>
      </c>
      <c r="J163" s="99">
        <f t="shared" si="16"/>
        <v>0</v>
      </c>
      <c r="K163" s="99">
        <f t="shared" si="17"/>
        <v>-1105000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211</v>
      </c>
      <c r="H164" s="99">
        <f t="shared" si="15"/>
        <v>1</v>
      </c>
      <c r="I164" s="99">
        <f t="shared" si="13"/>
        <v>630000000</v>
      </c>
      <c r="J164" s="99">
        <f t="shared" si="16"/>
        <v>0</v>
      </c>
      <c r="K164" s="99">
        <f t="shared" si="17"/>
        <v>630000000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210</v>
      </c>
      <c r="H165" s="99">
        <f t="shared" si="15"/>
        <v>1</v>
      </c>
      <c r="I165" s="99">
        <f t="shared" si="13"/>
        <v>627000000</v>
      </c>
      <c r="J165" s="99">
        <f t="shared" si="16"/>
        <v>0</v>
      </c>
      <c r="K165" s="99">
        <f t="shared" si="17"/>
        <v>627000000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209</v>
      </c>
      <c r="H166" s="99">
        <f t="shared" si="15"/>
        <v>1</v>
      </c>
      <c r="I166" s="99">
        <f t="shared" si="13"/>
        <v>4225312</v>
      </c>
      <c r="J166" s="99">
        <f t="shared" si="16"/>
        <v>12447136</v>
      </c>
      <c r="K166" s="99">
        <f t="shared" si="17"/>
        <v>-8221824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204</v>
      </c>
      <c r="H167" s="99">
        <f t="shared" si="15"/>
        <v>0</v>
      </c>
      <c r="I167" s="99">
        <f t="shared" si="13"/>
        <v>-612183600</v>
      </c>
      <c r="J167" s="99">
        <f t="shared" si="16"/>
        <v>0</v>
      </c>
      <c r="K167" s="99">
        <f t="shared" si="17"/>
        <v>-612183600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186</v>
      </c>
      <c r="H168" s="99">
        <f t="shared" si="15"/>
        <v>0</v>
      </c>
      <c r="I168" s="99">
        <f t="shared" si="13"/>
        <v>-558167400</v>
      </c>
      <c r="J168" s="99">
        <f t="shared" si="16"/>
        <v>0</v>
      </c>
      <c r="K168" s="99">
        <f t="shared" si="17"/>
        <v>-558167400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178</v>
      </c>
      <c r="H169" s="99">
        <f t="shared" si="15"/>
        <v>1</v>
      </c>
      <c r="I169" s="99">
        <f t="shared" si="13"/>
        <v>3841785</v>
      </c>
      <c r="J169" s="99">
        <f t="shared" si="16"/>
        <v>12127155</v>
      </c>
      <c r="K169" s="99">
        <f t="shared" si="17"/>
        <v>-8285370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154</v>
      </c>
      <c r="H170" s="99">
        <f t="shared" si="15"/>
        <v>1</v>
      </c>
      <c r="I170" s="99">
        <f t="shared" si="13"/>
        <v>765000000</v>
      </c>
      <c r="J170" s="99">
        <f t="shared" si="16"/>
        <v>0</v>
      </c>
      <c r="K170" s="99">
        <f t="shared" si="17"/>
        <v>765000000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153</v>
      </c>
      <c r="H171" s="99">
        <f t="shared" si="15"/>
        <v>0</v>
      </c>
      <c r="I171" s="99">
        <f t="shared" si="13"/>
        <v>-765000000</v>
      </c>
      <c r="J171" s="99">
        <f t="shared" si="16"/>
        <v>0</v>
      </c>
      <c r="K171" s="99">
        <f t="shared" si="17"/>
        <v>-765000000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147</v>
      </c>
      <c r="H172" s="99">
        <f t="shared" si="15"/>
        <v>1</v>
      </c>
      <c r="I172" s="99">
        <f t="shared" si="13"/>
        <v>72416</v>
      </c>
      <c r="J172" s="99">
        <f t="shared" si="16"/>
        <v>9151426</v>
      </c>
      <c r="K172" s="99">
        <f t="shared" si="17"/>
        <v>-9079010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146</v>
      </c>
      <c r="H173" s="99">
        <f t="shared" si="15"/>
        <v>1</v>
      </c>
      <c r="I173" s="99">
        <f t="shared" si="13"/>
        <v>113825000</v>
      </c>
      <c r="J173" s="99">
        <f t="shared" si="16"/>
        <v>0</v>
      </c>
      <c r="K173" s="99">
        <f t="shared" si="17"/>
        <v>113825000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135</v>
      </c>
      <c r="H174" s="99">
        <f t="shared" si="15"/>
        <v>0</v>
      </c>
      <c r="I174" s="99">
        <f t="shared" si="13"/>
        <v>-4320000</v>
      </c>
      <c r="J174" s="99">
        <f t="shared" si="16"/>
        <v>0</v>
      </c>
      <c r="K174" s="99">
        <f t="shared" si="17"/>
        <v>-4320000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133</v>
      </c>
      <c r="H175" s="99">
        <f t="shared" si="15"/>
        <v>0</v>
      </c>
      <c r="I175" s="99">
        <f t="shared" si="13"/>
        <v>-99750000</v>
      </c>
      <c r="J175" s="99">
        <f t="shared" si="16"/>
        <v>0</v>
      </c>
      <c r="K175" s="99">
        <f t="shared" si="17"/>
        <v>-99750000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124</v>
      </c>
      <c r="H176" s="99">
        <f t="shared" si="15"/>
        <v>0</v>
      </c>
      <c r="I176" s="99">
        <f t="shared" si="13"/>
        <v>-1165104</v>
      </c>
      <c r="J176" s="99">
        <f t="shared" si="16"/>
        <v>0</v>
      </c>
      <c r="K176" s="99">
        <f t="shared" si="17"/>
        <v>-1165104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123</v>
      </c>
      <c r="H177" s="99">
        <f t="shared" si="15"/>
        <v>0</v>
      </c>
      <c r="I177" s="99">
        <f t="shared" si="13"/>
        <v>-5325900</v>
      </c>
      <c r="J177" s="99">
        <f t="shared" si="16"/>
        <v>0</v>
      </c>
      <c r="K177" s="99">
        <f t="shared" si="17"/>
        <v>-5325900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120</v>
      </c>
      <c r="H178" s="99">
        <f t="shared" si="15"/>
        <v>1</v>
      </c>
      <c r="I178" s="99">
        <f t="shared" si="13"/>
        <v>42840000</v>
      </c>
      <c r="J178" s="99">
        <f t="shared" si="16"/>
        <v>0</v>
      </c>
      <c r="K178" s="99">
        <f t="shared" si="17"/>
        <v>42840000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118</v>
      </c>
      <c r="H179" s="99">
        <f t="shared" si="15"/>
        <v>1</v>
      </c>
      <c r="I179" s="99">
        <f t="shared" si="13"/>
        <v>351000000</v>
      </c>
      <c r="J179" s="99">
        <f t="shared" si="16"/>
        <v>0</v>
      </c>
      <c r="K179" s="99">
        <f t="shared" si="17"/>
        <v>351000000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118</v>
      </c>
      <c r="H180" s="99">
        <f t="shared" si="15"/>
        <v>0</v>
      </c>
      <c r="I180" s="99">
        <f t="shared" si="13"/>
        <v>-1421900</v>
      </c>
      <c r="J180" s="99">
        <f t="shared" si="16"/>
        <v>0</v>
      </c>
      <c r="K180" s="99">
        <f t="shared" si="17"/>
        <v>-1421900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116</v>
      </c>
      <c r="H181" s="99">
        <f t="shared" si="15"/>
        <v>1</v>
      </c>
      <c r="I181" s="99">
        <f t="shared" si="13"/>
        <v>345000000</v>
      </c>
      <c r="J181" s="99">
        <f t="shared" si="16"/>
        <v>0</v>
      </c>
      <c r="K181" s="99">
        <f t="shared" si="17"/>
        <v>345000000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114</v>
      </c>
      <c r="H182" s="99">
        <f t="shared" si="15"/>
        <v>0</v>
      </c>
      <c r="I182" s="99">
        <f t="shared" si="13"/>
        <v>-4081200</v>
      </c>
      <c r="J182" s="99">
        <f t="shared" si="16"/>
        <v>0</v>
      </c>
      <c r="K182" s="99">
        <f t="shared" si="17"/>
        <v>-4081200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113</v>
      </c>
      <c r="H183" s="99">
        <f t="shared" si="15"/>
        <v>1</v>
      </c>
      <c r="I183" s="99">
        <f t="shared" si="13"/>
        <v>403200000</v>
      </c>
      <c r="J183" s="99">
        <f t="shared" si="16"/>
        <v>0</v>
      </c>
      <c r="K183" s="99">
        <f t="shared" si="17"/>
        <v>403200000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113</v>
      </c>
      <c r="H184" s="99">
        <f t="shared" si="15"/>
        <v>0</v>
      </c>
      <c r="I184" s="99">
        <f t="shared" si="13"/>
        <v>-3771601</v>
      </c>
      <c r="J184" s="99">
        <f t="shared" si="16"/>
        <v>0</v>
      </c>
      <c r="K184" s="99">
        <f t="shared" si="17"/>
        <v>-3771601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110</v>
      </c>
      <c r="H185" s="99">
        <f t="shared" si="15"/>
        <v>0</v>
      </c>
      <c r="I185" s="99">
        <f t="shared" si="13"/>
        <v>-1078000000</v>
      </c>
      <c r="J185" s="99">
        <f t="shared" si="16"/>
        <v>0</v>
      </c>
      <c r="K185" s="99">
        <f t="shared" si="17"/>
        <v>-1078000000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110</v>
      </c>
      <c r="H186" s="99">
        <f t="shared" si="15"/>
        <v>1</v>
      </c>
      <c r="I186" s="99">
        <f t="shared" si="13"/>
        <v>1962000000</v>
      </c>
      <c r="J186" s="99">
        <f t="shared" si="16"/>
        <v>0</v>
      </c>
      <c r="K186" s="99">
        <f t="shared" si="17"/>
        <v>1962000000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110</v>
      </c>
      <c r="H187" s="99">
        <f t="shared" si="15"/>
        <v>0</v>
      </c>
      <c r="I187" s="99">
        <f t="shared" si="13"/>
        <v>-990000000</v>
      </c>
      <c r="J187" s="99">
        <f t="shared" si="16"/>
        <v>0</v>
      </c>
      <c r="K187" s="99">
        <f t="shared" si="17"/>
        <v>-990000000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110</v>
      </c>
      <c r="H188" s="99">
        <f t="shared" si="15"/>
        <v>0</v>
      </c>
      <c r="I188" s="99">
        <f t="shared" si="13"/>
        <v>-1276000</v>
      </c>
      <c r="J188" s="99">
        <f t="shared" si="16"/>
        <v>0</v>
      </c>
      <c r="K188" s="99">
        <f t="shared" si="17"/>
        <v>-1276000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110</v>
      </c>
      <c r="H189" s="99">
        <f t="shared" si="15"/>
        <v>0</v>
      </c>
      <c r="I189" s="99">
        <f t="shared" si="13"/>
        <v>-363475970</v>
      </c>
      <c r="J189" s="99">
        <f t="shared" si="16"/>
        <v>0</v>
      </c>
      <c r="K189" s="99">
        <f t="shared" si="17"/>
        <v>-363475970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109</v>
      </c>
      <c r="H190" s="99">
        <f t="shared" si="15"/>
        <v>0</v>
      </c>
      <c r="I190" s="99">
        <f t="shared" si="13"/>
        <v>-327098100</v>
      </c>
      <c r="J190" s="99">
        <f t="shared" si="16"/>
        <v>0</v>
      </c>
      <c r="K190" s="99">
        <f t="shared" si="17"/>
        <v>-327098100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108</v>
      </c>
      <c r="H191" s="99">
        <f t="shared" si="15"/>
        <v>0</v>
      </c>
      <c r="I191" s="99">
        <f t="shared" si="13"/>
        <v>-298177200</v>
      </c>
      <c r="J191" s="99">
        <f t="shared" si="16"/>
        <v>0</v>
      </c>
      <c r="K191" s="99">
        <f t="shared" si="17"/>
        <v>-298177200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103</v>
      </c>
      <c r="H192" s="99">
        <f t="shared" si="15"/>
        <v>1</v>
      </c>
      <c r="I192" s="99">
        <f t="shared" si="13"/>
        <v>102000000</v>
      </c>
      <c r="J192" s="99">
        <f t="shared" si="16"/>
        <v>0</v>
      </c>
      <c r="K192" s="99">
        <f t="shared" si="17"/>
        <v>102000000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102</v>
      </c>
      <c r="H193" s="99">
        <f t="shared" si="15"/>
        <v>0</v>
      </c>
      <c r="I193" s="99">
        <f t="shared" si="13"/>
        <v>-1530000</v>
      </c>
      <c r="J193" s="99">
        <f t="shared" si="16"/>
        <v>0</v>
      </c>
      <c r="K193" s="99">
        <f t="shared" si="17"/>
        <v>-1530000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100</v>
      </c>
      <c r="H194" s="99">
        <f t="shared" si="15"/>
        <v>0</v>
      </c>
      <c r="I194" s="99">
        <f t="shared" si="13"/>
        <v>-99000000</v>
      </c>
      <c r="J194" s="99">
        <f t="shared" si="16"/>
        <v>0</v>
      </c>
      <c r="K194" s="99">
        <f t="shared" si="17"/>
        <v>-99000000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100</v>
      </c>
      <c r="H195" s="99">
        <f t="shared" si="15"/>
        <v>1</v>
      </c>
      <c r="I195" s="99">
        <f t="shared" si="13"/>
        <v>77517000</v>
      </c>
      <c r="J195" s="99">
        <f t="shared" si="16"/>
        <v>0</v>
      </c>
      <c r="K195" s="99">
        <f t="shared" si="17"/>
        <v>77517000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98</v>
      </c>
      <c r="H196" s="99">
        <f t="shared" si="15"/>
        <v>0</v>
      </c>
      <c r="I196" s="99">
        <f t="shared" si="13"/>
        <v>-73549000</v>
      </c>
      <c r="J196" s="99">
        <f t="shared" si="16"/>
        <v>0</v>
      </c>
      <c r="K196" s="99">
        <f t="shared" si="17"/>
        <v>-73549000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96</v>
      </c>
      <c r="H197" s="99">
        <f t="shared" si="15"/>
        <v>1</v>
      </c>
      <c r="I197" s="99">
        <f t="shared" si="13"/>
        <v>66500000</v>
      </c>
      <c r="J197" s="99">
        <f t="shared" si="16"/>
        <v>0</v>
      </c>
      <c r="K197" s="99">
        <f t="shared" si="17"/>
        <v>66500000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96</v>
      </c>
      <c r="H198" s="99">
        <f t="shared" si="15"/>
        <v>0</v>
      </c>
      <c r="I198" s="99">
        <f t="shared" si="13"/>
        <v>-9504000</v>
      </c>
      <c r="J198" s="99">
        <f t="shared" si="16"/>
        <v>0</v>
      </c>
      <c r="K198" s="99">
        <f t="shared" si="17"/>
        <v>-9504000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95</v>
      </c>
      <c r="H199" s="99">
        <f t="shared" si="15"/>
        <v>0</v>
      </c>
      <c r="I199" s="99">
        <f t="shared" si="13"/>
        <v>-19546250</v>
      </c>
      <c r="J199" s="99">
        <f t="shared" si="16"/>
        <v>0</v>
      </c>
      <c r="K199" s="99">
        <f t="shared" si="17"/>
        <v>-19546250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95</v>
      </c>
      <c r="H200" s="99">
        <f t="shared" si="15"/>
        <v>0</v>
      </c>
      <c r="I200" s="99">
        <f t="shared" si="13"/>
        <v>-9025000</v>
      </c>
      <c r="J200" s="99">
        <f t="shared" si="16"/>
        <v>0</v>
      </c>
      <c r="K200" s="99">
        <f t="shared" si="17"/>
        <v>-9025000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92</v>
      </c>
      <c r="H201" s="99">
        <f t="shared" si="15"/>
        <v>1</v>
      </c>
      <c r="I201" s="99">
        <f t="shared" si="13"/>
        <v>4427150000</v>
      </c>
      <c r="J201" s="99">
        <f t="shared" si="16"/>
        <v>0</v>
      </c>
      <c r="K201" s="99">
        <f t="shared" si="17"/>
        <v>4427150000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92</v>
      </c>
      <c r="H202" s="99">
        <f t="shared" si="15"/>
        <v>0</v>
      </c>
      <c r="I202" s="99">
        <f t="shared" si="13"/>
        <v>-276082800</v>
      </c>
      <c r="J202" s="99">
        <f t="shared" si="16"/>
        <v>0</v>
      </c>
      <c r="K202" s="99">
        <f t="shared" si="17"/>
        <v>-276082800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92</v>
      </c>
      <c r="H203" s="99">
        <f t="shared" si="15"/>
        <v>0</v>
      </c>
      <c r="I203" s="99">
        <f t="shared" si="13"/>
        <v>-460000</v>
      </c>
      <c r="J203" s="99">
        <f t="shared" si="16"/>
        <v>0</v>
      </c>
      <c r="K203" s="99">
        <f t="shared" si="17"/>
        <v>-460000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92</v>
      </c>
      <c r="H204" s="99">
        <f t="shared" si="15"/>
        <v>0</v>
      </c>
      <c r="I204" s="99">
        <f t="shared" si="13"/>
        <v>-3082000000</v>
      </c>
      <c r="J204" s="99">
        <f t="shared" si="16"/>
        <v>0</v>
      </c>
      <c r="K204" s="99">
        <f t="shared" si="17"/>
        <v>-3082000000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9" si="19">G206+F205</f>
        <v>91</v>
      </c>
      <c r="H205" s="99">
        <f t="shared" si="15"/>
        <v>0</v>
      </c>
      <c r="I205" s="99">
        <f t="shared" si="13"/>
        <v>-1131585000</v>
      </c>
      <c r="J205" s="99">
        <f t="shared" si="16"/>
        <v>0</v>
      </c>
      <c r="K205" s="99">
        <f t="shared" si="17"/>
        <v>-1131585000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88</v>
      </c>
      <c r="H206" s="99">
        <f t="shared" si="15"/>
        <v>0</v>
      </c>
      <c r="I206" s="99">
        <f t="shared" si="13"/>
        <v>-1628000</v>
      </c>
      <c r="J206" s="99">
        <f t="shared" si="16"/>
        <v>0</v>
      </c>
      <c r="K206" s="99">
        <f t="shared" si="17"/>
        <v>-1628000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86</v>
      </c>
      <c r="H207" s="99">
        <f t="shared" si="15"/>
        <v>1</v>
      </c>
      <c r="I207" s="99">
        <f t="shared" si="13"/>
        <v>1230800</v>
      </c>
      <c r="J207" s="99">
        <f t="shared" ref="J207:J269" si="20">C207*(G207-H207)</f>
        <v>6024290</v>
      </c>
      <c r="K207" s="99">
        <f t="shared" si="17"/>
        <v>-4793490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85</v>
      </c>
      <c r="H208" s="99">
        <f t="shared" si="15"/>
        <v>1</v>
      </c>
      <c r="I208" s="99">
        <f t="shared" si="13"/>
        <v>69720000</v>
      </c>
      <c r="J208" s="99">
        <f t="shared" si="20"/>
        <v>0</v>
      </c>
      <c r="K208" s="99">
        <f t="shared" si="17"/>
        <v>69720000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83</v>
      </c>
      <c r="H209" s="99">
        <f t="shared" si="15"/>
        <v>0</v>
      </c>
      <c r="I209" s="99">
        <f t="shared" si="13"/>
        <v>-4352520</v>
      </c>
      <c r="J209" s="99">
        <f t="shared" si="20"/>
        <v>0</v>
      </c>
      <c r="K209" s="99">
        <f t="shared" si="17"/>
        <v>-4352520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82</v>
      </c>
      <c r="H210" s="99">
        <f t="shared" si="15"/>
        <v>0</v>
      </c>
      <c r="I210" s="99">
        <f t="shared" si="13"/>
        <v>-4190200</v>
      </c>
      <c r="J210" s="99">
        <f t="shared" si="20"/>
        <v>0</v>
      </c>
      <c r="K210" s="99">
        <f t="shared" si="17"/>
        <v>-4190200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81</v>
      </c>
      <c r="H211" s="99">
        <f t="shared" si="15"/>
        <v>0</v>
      </c>
      <c r="I211" s="99">
        <f t="shared" si="13"/>
        <v>-16200000</v>
      </c>
      <c r="J211" s="99">
        <f t="shared" si="20"/>
        <v>0</v>
      </c>
      <c r="K211" s="99">
        <f t="shared" si="17"/>
        <v>-16200000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80</v>
      </c>
      <c r="H212" s="99">
        <f t="shared" si="15"/>
        <v>0</v>
      </c>
      <c r="I212" s="99">
        <f t="shared" si="13"/>
        <v>-2240000</v>
      </c>
      <c r="J212" s="99">
        <f t="shared" si="20"/>
        <v>0</v>
      </c>
      <c r="K212" s="99">
        <f t="shared" si="17"/>
        <v>-2240000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79</v>
      </c>
      <c r="H213" s="99">
        <f t="shared" si="15"/>
        <v>0</v>
      </c>
      <c r="I213" s="99">
        <f t="shared" si="13"/>
        <v>-4668900</v>
      </c>
      <c r="J213" s="99">
        <f t="shared" si="20"/>
        <v>0</v>
      </c>
      <c r="K213" s="99">
        <f t="shared" si="17"/>
        <v>-4668900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78</v>
      </c>
      <c r="H214" s="99">
        <f t="shared" si="15"/>
        <v>0</v>
      </c>
      <c r="I214" s="99">
        <f t="shared" si="13"/>
        <v>-2340000</v>
      </c>
      <c r="J214" s="99">
        <f t="shared" si="20"/>
        <v>0</v>
      </c>
      <c r="K214" s="99">
        <f t="shared" si="17"/>
        <v>-2340000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78</v>
      </c>
      <c r="H215" s="99">
        <f t="shared" si="15"/>
        <v>0</v>
      </c>
      <c r="I215" s="99">
        <f t="shared" si="13"/>
        <v>-13884000</v>
      </c>
      <c r="J215" s="99">
        <f t="shared" si="20"/>
        <v>0</v>
      </c>
      <c r="K215" s="99">
        <f t="shared" si="17"/>
        <v>-13884000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77</v>
      </c>
      <c r="H216" s="99">
        <f t="shared" si="15"/>
        <v>0</v>
      </c>
      <c r="I216" s="99">
        <f t="shared" si="13"/>
        <v>-7361970</v>
      </c>
      <c r="J216" s="99">
        <f t="shared" si="20"/>
        <v>0</v>
      </c>
      <c r="K216" s="99">
        <f t="shared" si="17"/>
        <v>-7361970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74</v>
      </c>
      <c r="H217" s="99">
        <f t="shared" si="15"/>
        <v>0</v>
      </c>
      <c r="I217" s="99">
        <f t="shared" si="13"/>
        <v>-6216000</v>
      </c>
      <c r="J217" s="99">
        <f t="shared" si="20"/>
        <v>0</v>
      </c>
      <c r="K217" s="99">
        <f t="shared" si="17"/>
        <v>-6216000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8" si="21">G219+F218</f>
        <v>72</v>
      </c>
      <c r="H218" s="99">
        <f t="shared" si="15"/>
        <v>0</v>
      </c>
      <c r="I218" s="99">
        <f t="shared" si="13"/>
        <v>-2376000</v>
      </c>
      <c r="J218" s="99">
        <f t="shared" si="20"/>
        <v>0</v>
      </c>
      <c r="K218" s="99">
        <f t="shared" si="17"/>
        <v>-2376000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69</v>
      </c>
      <c r="H219" s="99">
        <f t="shared" si="15"/>
        <v>1</v>
      </c>
      <c r="I219" s="99">
        <f t="shared" si="13"/>
        <v>105264000</v>
      </c>
      <c r="J219" s="99">
        <f t="shared" si="20"/>
        <v>0</v>
      </c>
      <c r="K219" s="99">
        <f t="shared" si="17"/>
        <v>105264000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68</v>
      </c>
      <c r="H220" s="99">
        <f t="shared" si="15"/>
        <v>0</v>
      </c>
      <c r="I220" s="99">
        <f t="shared" si="13"/>
        <v>-95247600</v>
      </c>
      <c r="J220" s="99">
        <f t="shared" si="20"/>
        <v>0</v>
      </c>
      <c r="K220" s="99">
        <f t="shared" si="17"/>
        <v>-95247600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68</v>
      </c>
      <c r="H221" s="99">
        <f t="shared" si="15"/>
        <v>0</v>
      </c>
      <c r="I221" s="99">
        <f t="shared" si="13"/>
        <v>-680000</v>
      </c>
      <c r="J221" s="99">
        <f t="shared" si="20"/>
        <v>0</v>
      </c>
      <c r="K221" s="99">
        <f t="shared" si="17"/>
        <v>-680000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68</v>
      </c>
      <c r="H222" s="99">
        <f t="shared" si="15"/>
        <v>0</v>
      </c>
      <c r="I222" s="99">
        <f t="shared" si="13"/>
        <v>-340000</v>
      </c>
      <c r="J222" s="99">
        <f t="shared" si="20"/>
        <v>-170000</v>
      </c>
      <c r="K222" s="99">
        <f t="shared" si="17"/>
        <v>-170000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62</v>
      </c>
      <c r="H223" s="99">
        <f t="shared" si="15"/>
        <v>0</v>
      </c>
      <c r="I223" s="99">
        <f t="shared" si="13"/>
        <v>-11780000</v>
      </c>
      <c r="J223" s="99">
        <f t="shared" si="20"/>
        <v>0</v>
      </c>
      <c r="K223" s="99">
        <f t="shared" si="17"/>
        <v>-11780000</v>
      </c>
      <c r="M223" t="s">
        <v>25</v>
      </c>
    </row>
    <row r="224" spans="1:13">
      <c r="A224" s="99" t="s">
        <v>4297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55</v>
      </c>
      <c r="H224" s="99">
        <f t="shared" si="15"/>
        <v>1</v>
      </c>
      <c r="I224" s="99">
        <f t="shared" si="13"/>
        <v>103194</v>
      </c>
      <c r="J224" s="99">
        <f t="shared" si="20"/>
        <v>3508488</v>
      </c>
      <c r="K224" s="99">
        <f t="shared" si="17"/>
        <v>-3405294</v>
      </c>
      <c r="M224" t="s">
        <v>25</v>
      </c>
    </row>
    <row r="225" spans="1:13">
      <c r="A225" s="99" t="s">
        <v>4316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49</v>
      </c>
      <c r="H225" s="99">
        <f t="shared" si="15"/>
        <v>1</v>
      </c>
      <c r="I225" s="99">
        <f t="shared" si="13"/>
        <v>240000000</v>
      </c>
      <c r="J225" s="99">
        <f t="shared" si="20"/>
        <v>0</v>
      </c>
      <c r="K225" s="99">
        <f t="shared" si="17"/>
        <v>240000000</v>
      </c>
    </row>
    <row r="226" spans="1:13">
      <c r="A226" s="99" t="s">
        <v>4322</v>
      </c>
      <c r="B226" s="18">
        <v>-3200000</v>
      </c>
      <c r="C226" s="18">
        <v>0</v>
      </c>
      <c r="D226" s="18">
        <f t="shared" si="18"/>
        <v>-3200000</v>
      </c>
      <c r="E226" s="99" t="s">
        <v>4335</v>
      </c>
      <c r="F226" s="99">
        <v>0</v>
      </c>
      <c r="G226" s="36">
        <f t="shared" si="21"/>
        <v>48</v>
      </c>
      <c r="H226" s="99">
        <f t="shared" si="15"/>
        <v>0</v>
      </c>
      <c r="I226" s="99">
        <f t="shared" si="13"/>
        <v>-153600000</v>
      </c>
      <c r="J226" s="99">
        <f t="shared" si="20"/>
        <v>0</v>
      </c>
      <c r="K226" s="99">
        <f t="shared" si="17"/>
        <v>-153600000</v>
      </c>
    </row>
    <row r="227" spans="1:13">
      <c r="A227" s="99" t="s">
        <v>4322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48</v>
      </c>
      <c r="H227" s="99">
        <f t="shared" si="15"/>
        <v>1</v>
      </c>
      <c r="I227" s="99">
        <f t="shared" si="13"/>
        <v>112800000</v>
      </c>
      <c r="J227" s="99">
        <f t="shared" si="20"/>
        <v>0</v>
      </c>
      <c r="K227" s="99">
        <f t="shared" si="17"/>
        <v>112800000</v>
      </c>
    </row>
    <row r="228" spans="1:13">
      <c r="A228" s="99" t="s">
        <v>4351</v>
      </c>
      <c r="B228" s="18">
        <v>-50000</v>
      </c>
      <c r="C228" s="18">
        <v>0</v>
      </c>
      <c r="D228" s="18">
        <f t="shared" si="18"/>
        <v>-50000</v>
      </c>
      <c r="E228" s="99" t="s">
        <v>4355</v>
      </c>
      <c r="F228" s="99">
        <v>1</v>
      </c>
      <c r="G228" s="36">
        <f t="shared" si="21"/>
        <v>46</v>
      </c>
      <c r="H228" s="99">
        <f t="shared" si="15"/>
        <v>0</v>
      </c>
      <c r="I228" s="99">
        <f t="shared" si="13"/>
        <v>-2300000</v>
      </c>
      <c r="J228" s="99">
        <f t="shared" si="20"/>
        <v>0</v>
      </c>
      <c r="K228" s="99">
        <f t="shared" si="17"/>
        <v>-2300000</v>
      </c>
    </row>
    <row r="229" spans="1:13">
      <c r="A229" s="99" t="s">
        <v>4345</v>
      </c>
      <c r="B229" s="18">
        <v>-4100700</v>
      </c>
      <c r="C229" s="18">
        <v>0</v>
      </c>
      <c r="D229" s="18">
        <f t="shared" si="18"/>
        <v>-4100700</v>
      </c>
      <c r="E229" s="99" t="s">
        <v>4356</v>
      </c>
      <c r="F229" s="99">
        <v>4</v>
      </c>
      <c r="G229" s="36">
        <f t="shared" si="21"/>
        <v>45</v>
      </c>
      <c r="H229" s="99">
        <f t="shared" si="15"/>
        <v>0</v>
      </c>
      <c r="I229" s="99">
        <f t="shared" si="13"/>
        <v>-184531500</v>
      </c>
      <c r="J229" s="99">
        <f t="shared" si="20"/>
        <v>0</v>
      </c>
      <c r="K229" s="99">
        <f t="shared" si="17"/>
        <v>-184531500</v>
      </c>
    </row>
    <row r="230" spans="1:13">
      <c r="A230" s="99" t="s">
        <v>4364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41</v>
      </c>
      <c r="H230" s="99">
        <f t="shared" si="15"/>
        <v>1</v>
      </c>
      <c r="I230" s="99">
        <f t="shared" si="13"/>
        <v>388000000</v>
      </c>
      <c r="J230" s="99">
        <f t="shared" si="20"/>
        <v>0</v>
      </c>
      <c r="K230" s="99">
        <f t="shared" si="17"/>
        <v>388000000</v>
      </c>
    </row>
    <row r="231" spans="1:13">
      <c r="A231" s="99" t="s">
        <v>4364</v>
      </c>
      <c r="B231" s="18">
        <v>-3000900</v>
      </c>
      <c r="C231" s="18">
        <v>0</v>
      </c>
      <c r="D231" s="18">
        <f t="shared" si="18"/>
        <v>-3000900</v>
      </c>
      <c r="E231" s="99" t="s">
        <v>4372</v>
      </c>
      <c r="F231" s="99">
        <v>1</v>
      </c>
      <c r="G231" s="36">
        <f t="shared" si="21"/>
        <v>41</v>
      </c>
      <c r="H231" s="99">
        <f t="shared" si="15"/>
        <v>0</v>
      </c>
      <c r="I231" s="99">
        <f t="shared" si="13"/>
        <v>-123036900</v>
      </c>
      <c r="J231" s="99">
        <f t="shared" si="20"/>
        <v>0</v>
      </c>
      <c r="K231" s="99">
        <f t="shared" si="17"/>
        <v>-123036900</v>
      </c>
    </row>
    <row r="232" spans="1:13">
      <c r="A232" s="99" t="s">
        <v>4365</v>
      </c>
      <c r="B232" s="18">
        <v>-3000900</v>
      </c>
      <c r="C232" s="18">
        <v>0</v>
      </c>
      <c r="D232" s="18">
        <f t="shared" si="18"/>
        <v>-3000900</v>
      </c>
      <c r="E232" s="99" t="s">
        <v>4372</v>
      </c>
      <c r="F232" s="99">
        <v>0</v>
      </c>
      <c r="G232" s="36">
        <f t="shared" si="21"/>
        <v>40</v>
      </c>
      <c r="H232" s="99">
        <f t="shared" si="15"/>
        <v>0</v>
      </c>
      <c r="I232" s="99">
        <f t="shared" si="13"/>
        <v>-120036000</v>
      </c>
      <c r="J232" s="99">
        <f t="shared" si="20"/>
        <v>0</v>
      </c>
      <c r="K232" s="99">
        <f t="shared" si="17"/>
        <v>-120036000</v>
      </c>
    </row>
    <row r="233" spans="1:13">
      <c r="A233" s="99" t="s">
        <v>4365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40</v>
      </c>
      <c r="H233" s="99">
        <f t="shared" si="15"/>
        <v>0</v>
      </c>
      <c r="I233" s="99">
        <f t="shared" si="13"/>
        <v>-22200000</v>
      </c>
      <c r="J233" s="99">
        <f t="shared" si="20"/>
        <v>0</v>
      </c>
      <c r="K233" s="99">
        <f t="shared" si="17"/>
        <v>-22200000</v>
      </c>
    </row>
    <row r="234" spans="1:13">
      <c r="A234" s="99" t="s">
        <v>4384</v>
      </c>
      <c r="B234" s="18">
        <v>-138360</v>
      </c>
      <c r="C234" s="18">
        <v>0</v>
      </c>
      <c r="D234" s="18">
        <f t="shared" si="18"/>
        <v>-138360</v>
      </c>
      <c r="E234" s="99" t="s">
        <v>4386</v>
      </c>
      <c r="F234" s="99">
        <v>1</v>
      </c>
      <c r="G234" s="36">
        <f t="shared" si="21"/>
        <v>39</v>
      </c>
      <c r="H234" s="99">
        <f t="shared" si="15"/>
        <v>0</v>
      </c>
      <c r="I234" s="99">
        <f t="shared" si="13"/>
        <v>-5396040</v>
      </c>
      <c r="J234" s="99">
        <f t="shared" si="20"/>
        <v>0</v>
      </c>
      <c r="K234" s="99">
        <f t="shared" si="17"/>
        <v>-5396040</v>
      </c>
    </row>
    <row r="235" spans="1:13">
      <c r="A235" s="99" t="s">
        <v>4387</v>
      </c>
      <c r="B235" s="18">
        <v>-3000900</v>
      </c>
      <c r="C235" s="18">
        <v>0</v>
      </c>
      <c r="D235" s="18">
        <f t="shared" si="18"/>
        <v>-3000900</v>
      </c>
      <c r="E235" s="99" t="s">
        <v>4372</v>
      </c>
      <c r="F235" s="99">
        <v>2</v>
      </c>
      <c r="G235" s="36">
        <f t="shared" si="21"/>
        <v>38</v>
      </c>
      <c r="H235" s="99">
        <f t="shared" si="15"/>
        <v>0</v>
      </c>
      <c r="I235" s="99">
        <f t="shared" si="13"/>
        <v>-114034200</v>
      </c>
      <c r="J235" s="99">
        <f t="shared" si="20"/>
        <v>0</v>
      </c>
      <c r="K235" s="99">
        <f t="shared" si="17"/>
        <v>-114034200</v>
      </c>
      <c r="M235" t="s">
        <v>25</v>
      </c>
    </row>
    <row r="236" spans="1:13">
      <c r="A236" s="99" t="s">
        <v>4393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36</v>
      </c>
      <c r="H236" s="99">
        <f t="shared" si="15"/>
        <v>0</v>
      </c>
      <c r="I236" s="99">
        <f t="shared" si="13"/>
        <v>-1980000</v>
      </c>
      <c r="J236" s="99">
        <f t="shared" si="20"/>
        <v>0</v>
      </c>
      <c r="K236" s="99">
        <f t="shared" si="17"/>
        <v>-1980000</v>
      </c>
    </row>
    <row r="237" spans="1:13">
      <c r="A237" s="99" t="s">
        <v>4412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32</v>
      </c>
      <c r="H237" s="99">
        <f t="shared" si="15"/>
        <v>1</v>
      </c>
      <c r="I237" s="99">
        <f t="shared" si="13"/>
        <v>187085000</v>
      </c>
      <c r="J237" s="99">
        <f t="shared" si="20"/>
        <v>0</v>
      </c>
      <c r="K237" s="99">
        <f t="shared" si="17"/>
        <v>187085000</v>
      </c>
    </row>
    <row r="238" spans="1:13">
      <c r="A238" s="99" t="s">
        <v>4419</v>
      </c>
      <c r="B238" s="18">
        <v>-7500</v>
      </c>
      <c r="C238" s="18">
        <v>0</v>
      </c>
      <c r="D238" s="18">
        <f t="shared" si="18"/>
        <v>-7500</v>
      </c>
      <c r="E238" s="99" t="s">
        <v>4420</v>
      </c>
      <c r="F238" s="99">
        <v>1</v>
      </c>
      <c r="G238" s="36">
        <f t="shared" si="21"/>
        <v>30</v>
      </c>
      <c r="H238" s="99">
        <f t="shared" si="15"/>
        <v>0</v>
      </c>
      <c r="I238" s="99">
        <f t="shared" si="13"/>
        <v>-225000</v>
      </c>
      <c r="J238" s="99">
        <f t="shared" si="20"/>
        <v>0</v>
      </c>
      <c r="K238" s="99">
        <f t="shared" si="17"/>
        <v>-225000</v>
      </c>
    </row>
    <row r="239" spans="1:13">
      <c r="A239" s="99" t="s">
        <v>4421</v>
      </c>
      <c r="B239" s="18">
        <v>-4098523</v>
      </c>
      <c r="C239" s="18">
        <v>0</v>
      </c>
      <c r="D239" s="18">
        <f t="shared" si="18"/>
        <v>-4098523</v>
      </c>
      <c r="E239" s="99" t="s">
        <v>4422</v>
      </c>
      <c r="F239" s="99">
        <v>0</v>
      </c>
      <c r="G239" s="36">
        <f t="shared" si="21"/>
        <v>29</v>
      </c>
      <c r="H239" s="99">
        <f t="shared" si="15"/>
        <v>0</v>
      </c>
      <c r="I239" s="99">
        <f t="shared" si="13"/>
        <v>-118857167</v>
      </c>
      <c r="J239" s="99">
        <f t="shared" si="20"/>
        <v>0</v>
      </c>
      <c r="K239" s="99">
        <f t="shared" si="17"/>
        <v>-118857167</v>
      </c>
    </row>
    <row r="240" spans="1:13">
      <c r="A240" s="99" t="s">
        <v>4423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29</v>
      </c>
      <c r="H240" s="99">
        <f t="shared" si="15"/>
        <v>0</v>
      </c>
      <c r="I240" s="99">
        <f t="shared" si="13"/>
        <v>-963525</v>
      </c>
      <c r="J240" s="99">
        <f t="shared" si="20"/>
        <v>0</v>
      </c>
      <c r="K240" s="99">
        <f t="shared" si="17"/>
        <v>-963525</v>
      </c>
    </row>
    <row r="241" spans="1:13">
      <c r="A241" s="99" t="s">
        <v>4423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29</v>
      </c>
      <c r="H241" s="99">
        <f t="shared" si="15"/>
        <v>0</v>
      </c>
      <c r="I241" s="99">
        <f t="shared" si="13"/>
        <v>-54955000</v>
      </c>
      <c r="J241" s="99">
        <f t="shared" si="20"/>
        <v>0</v>
      </c>
      <c r="K241" s="99">
        <f t="shared" si="17"/>
        <v>-54955000</v>
      </c>
    </row>
    <row r="242" spans="1:13">
      <c r="A242" s="99" t="s">
        <v>4460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22</v>
      </c>
      <c r="H242" s="99">
        <f t="shared" si="15"/>
        <v>1</v>
      </c>
      <c r="I242" s="99">
        <f t="shared" si="13"/>
        <v>52500000</v>
      </c>
      <c r="J242" s="99">
        <f t="shared" si="20"/>
        <v>0</v>
      </c>
      <c r="K242" s="99">
        <f t="shared" si="17"/>
        <v>52500000</v>
      </c>
    </row>
    <row r="243" spans="1:13">
      <c r="A243" s="99" t="s">
        <v>4463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20</v>
      </c>
      <c r="H243" s="99">
        <f t="shared" si="15"/>
        <v>0</v>
      </c>
      <c r="I243" s="99">
        <f t="shared" si="13"/>
        <v>-50000000</v>
      </c>
      <c r="J243" s="99">
        <f t="shared" si="20"/>
        <v>0</v>
      </c>
      <c r="K243" s="99">
        <f t="shared" si="17"/>
        <v>-50000000</v>
      </c>
    </row>
    <row r="244" spans="1:13">
      <c r="A244" s="99" t="s">
        <v>4473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18</v>
      </c>
      <c r="H244" s="99">
        <f t="shared" si="15"/>
        <v>1</v>
      </c>
      <c r="I244" s="99">
        <f t="shared" si="13"/>
        <v>18700000</v>
      </c>
      <c r="J244" s="99">
        <f t="shared" si="20"/>
        <v>0</v>
      </c>
      <c r="K244" s="99">
        <f t="shared" si="17"/>
        <v>18700000</v>
      </c>
    </row>
    <row r="245" spans="1:13">
      <c r="A245" s="99" t="s">
        <v>4480</v>
      </c>
      <c r="B245" s="18">
        <v>3000000</v>
      </c>
      <c r="C245" s="18">
        <v>0</v>
      </c>
      <c r="D245" s="18">
        <f t="shared" si="18"/>
        <v>3000000</v>
      </c>
      <c r="E245" s="99" t="s">
        <v>4482</v>
      </c>
      <c r="F245" s="99">
        <v>2</v>
      </c>
      <c r="G245" s="36">
        <f t="shared" si="21"/>
        <v>16</v>
      </c>
      <c r="H245" s="99">
        <f t="shared" si="15"/>
        <v>1</v>
      </c>
      <c r="I245" s="99">
        <f t="shared" si="13"/>
        <v>45000000</v>
      </c>
      <c r="J245" s="99">
        <f t="shared" si="20"/>
        <v>0</v>
      </c>
      <c r="K245" s="99">
        <f t="shared" si="17"/>
        <v>45000000</v>
      </c>
    </row>
    <row r="246" spans="1:13">
      <c r="A246" s="99" t="s">
        <v>4472</v>
      </c>
      <c r="B246" s="18">
        <v>-4040700</v>
      </c>
      <c r="C246" s="18">
        <v>0</v>
      </c>
      <c r="D246" s="18">
        <f t="shared" si="18"/>
        <v>-4040700</v>
      </c>
      <c r="E246" s="99" t="s">
        <v>4516</v>
      </c>
      <c r="F246" s="99">
        <v>0</v>
      </c>
      <c r="G246" s="36">
        <f t="shared" si="21"/>
        <v>14</v>
      </c>
      <c r="H246" s="99">
        <f t="shared" si="15"/>
        <v>0</v>
      </c>
      <c r="I246" s="99">
        <f t="shared" si="13"/>
        <v>-56569800</v>
      </c>
      <c r="J246" s="99">
        <f t="shared" si="20"/>
        <v>0</v>
      </c>
      <c r="K246" s="99">
        <f t="shared" si="17"/>
        <v>-56569800</v>
      </c>
    </row>
    <row r="247" spans="1:13">
      <c r="A247" s="99" t="s">
        <v>4472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14</v>
      </c>
      <c r="H247" s="99">
        <f t="shared" si="15"/>
        <v>1</v>
      </c>
      <c r="I247" s="99">
        <f t="shared" si="13"/>
        <v>6370000</v>
      </c>
      <c r="J247" s="99">
        <f t="shared" si="20"/>
        <v>0</v>
      </c>
      <c r="K247" s="99">
        <f t="shared" si="17"/>
        <v>6370000</v>
      </c>
    </row>
    <row r="248" spans="1:13">
      <c r="A248" s="99" t="s">
        <v>4521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13</v>
      </c>
      <c r="H248" s="99">
        <f t="shared" si="15"/>
        <v>1</v>
      </c>
      <c r="I248" s="99">
        <f t="shared" si="13"/>
        <v>16800000</v>
      </c>
      <c r="J248" s="99">
        <f t="shared" si="20"/>
        <v>0</v>
      </c>
      <c r="K248" s="99">
        <f t="shared" si="17"/>
        <v>16800000</v>
      </c>
      <c r="M248" t="s">
        <v>25</v>
      </c>
    </row>
    <row r="249" spans="1:13">
      <c r="A249" s="99" t="s">
        <v>4521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13</v>
      </c>
      <c r="H249" s="99">
        <f t="shared" si="15"/>
        <v>0</v>
      </c>
      <c r="I249" s="99">
        <f t="shared" si="13"/>
        <v>-19500000</v>
      </c>
      <c r="J249" s="99">
        <f t="shared" si="20"/>
        <v>0</v>
      </c>
      <c r="K249" s="99">
        <f t="shared" si="17"/>
        <v>-19500000</v>
      </c>
    </row>
    <row r="250" spans="1:13">
      <c r="A250" s="99" t="s">
        <v>4530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12</v>
      </c>
      <c r="H250" s="99">
        <f t="shared" si="15"/>
        <v>0</v>
      </c>
      <c r="I250" s="99">
        <f t="shared" si="13"/>
        <v>-1200000</v>
      </c>
      <c r="J250" s="99">
        <f t="shared" si="20"/>
        <v>0</v>
      </c>
      <c r="K250" s="99">
        <f t="shared" si="17"/>
        <v>-1200000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11</v>
      </c>
      <c r="H251" s="99">
        <f t="shared" si="15"/>
        <v>0</v>
      </c>
      <c r="I251" s="99">
        <f t="shared" si="13"/>
        <v>-152900</v>
      </c>
      <c r="J251" s="99">
        <f t="shared" si="20"/>
        <v>0</v>
      </c>
      <c r="K251" s="99">
        <f t="shared" si="17"/>
        <v>-152900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11</v>
      </c>
      <c r="H252" s="99">
        <f t="shared" si="15"/>
        <v>1</v>
      </c>
      <c r="I252" s="99">
        <f t="shared" si="13"/>
        <v>3000000</v>
      </c>
      <c r="J252" s="99">
        <f t="shared" si="20"/>
        <v>0</v>
      </c>
      <c r="K252" s="99">
        <f t="shared" si="17"/>
        <v>3000000</v>
      </c>
    </row>
    <row r="253" spans="1:13">
      <c r="A253" s="99" t="s">
        <v>4541</v>
      </c>
      <c r="B253" s="18">
        <v>12000000</v>
      </c>
      <c r="C253" s="18">
        <v>0</v>
      </c>
      <c r="D253" s="18">
        <f t="shared" si="18"/>
        <v>12000000</v>
      </c>
      <c r="E253" s="99" t="s">
        <v>4542</v>
      </c>
      <c r="F253" s="99">
        <v>1</v>
      </c>
      <c r="G253" s="36">
        <f t="shared" si="21"/>
        <v>9</v>
      </c>
      <c r="H253" s="99">
        <f t="shared" si="15"/>
        <v>1</v>
      </c>
      <c r="I253" s="99">
        <f t="shared" si="13"/>
        <v>96000000</v>
      </c>
      <c r="J253" s="99">
        <f t="shared" si="20"/>
        <v>0</v>
      </c>
      <c r="K253" s="99">
        <f t="shared" si="17"/>
        <v>96000000</v>
      </c>
    </row>
    <row r="254" spans="1:13">
      <c r="A254" s="99" t="s">
        <v>4543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8</v>
      </c>
      <c r="H254" s="99">
        <f t="shared" si="15"/>
        <v>1</v>
      </c>
      <c r="I254" s="99">
        <f t="shared" si="13"/>
        <v>21000000</v>
      </c>
      <c r="J254" s="99">
        <f t="shared" si="20"/>
        <v>0</v>
      </c>
      <c r="K254" s="99">
        <f t="shared" si="17"/>
        <v>21000000</v>
      </c>
    </row>
    <row r="255" spans="1:13">
      <c r="A255" s="99" t="s">
        <v>4545</v>
      </c>
      <c r="B255" s="18">
        <v>-14000000</v>
      </c>
      <c r="C255" s="18">
        <v>0</v>
      </c>
      <c r="D255" s="18">
        <f t="shared" si="18"/>
        <v>-14000000</v>
      </c>
      <c r="E255" s="99" t="s">
        <v>3772</v>
      </c>
      <c r="F255" s="99">
        <v>1</v>
      </c>
      <c r="G255" s="36">
        <f t="shared" si="21"/>
        <v>7</v>
      </c>
      <c r="H255" s="99">
        <f t="shared" si="15"/>
        <v>0</v>
      </c>
      <c r="I255" s="99">
        <f t="shared" si="13"/>
        <v>-98000000</v>
      </c>
      <c r="J255" s="99">
        <f t="shared" si="20"/>
        <v>0</v>
      </c>
      <c r="K255" s="99">
        <f t="shared" si="17"/>
        <v>-98000000</v>
      </c>
    </row>
    <row r="256" spans="1:13">
      <c r="A256" s="99" t="s">
        <v>4548</v>
      </c>
      <c r="B256" s="18">
        <v>-124969</v>
      </c>
      <c r="C256" s="18">
        <v>0</v>
      </c>
      <c r="D256" s="18">
        <f t="shared" si="18"/>
        <v>-124969</v>
      </c>
      <c r="E256" s="99" t="s">
        <v>4017</v>
      </c>
      <c r="F256" s="99">
        <v>0</v>
      </c>
      <c r="G256" s="36">
        <f t="shared" si="21"/>
        <v>6</v>
      </c>
      <c r="H256" s="99">
        <f t="shared" si="15"/>
        <v>0</v>
      </c>
      <c r="I256" s="99">
        <f t="shared" si="13"/>
        <v>-749814</v>
      </c>
      <c r="J256" s="99">
        <f t="shared" si="20"/>
        <v>0</v>
      </c>
      <c r="K256" s="99">
        <f t="shared" si="17"/>
        <v>-749814</v>
      </c>
    </row>
    <row r="257" spans="1:12">
      <c r="A257" s="99" t="s">
        <v>4548</v>
      </c>
      <c r="B257" s="18">
        <v>0</v>
      </c>
      <c r="C257" s="39">
        <v>-7968789</v>
      </c>
      <c r="D257" s="39">
        <f t="shared" si="18"/>
        <v>7968789</v>
      </c>
      <c r="E257" s="99" t="s">
        <v>4552</v>
      </c>
      <c r="F257" s="99">
        <v>1</v>
      </c>
      <c r="G257" s="36">
        <f t="shared" si="21"/>
        <v>6</v>
      </c>
      <c r="H257" s="99">
        <f t="shared" si="15"/>
        <v>0</v>
      </c>
      <c r="I257" s="99">
        <f t="shared" si="13"/>
        <v>0</v>
      </c>
      <c r="J257" s="99">
        <f t="shared" si="20"/>
        <v>-47812734</v>
      </c>
      <c r="K257" s="99">
        <f t="shared" si="17"/>
        <v>47812734</v>
      </c>
    </row>
    <row r="258" spans="1:12">
      <c r="A258" s="99" t="s">
        <v>4554</v>
      </c>
      <c r="B258" s="18">
        <v>-1313000</v>
      </c>
      <c r="C258" s="18">
        <v>0</v>
      </c>
      <c r="D258" s="18">
        <f t="shared" si="18"/>
        <v>-1313000</v>
      </c>
      <c r="E258" s="99" t="s">
        <v>3772</v>
      </c>
      <c r="F258" s="99">
        <v>3</v>
      </c>
      <c r="G258" s="36">
        <f t="shared" si="21"/>
        <v>5</v>
      </c>
      <c r="H258" s="99">
        <f t="shared" si="15"/>
        <v>0</v>
      </c>
      <c r="I258" s="99">
        <f t="shared" si="13"/>
        <v>-6565000</v>
      </c>
      <c r="J258" s="99">
        <f t="shared" si="20"/>
        <v>0</v>
      </c>
      <c r="K258" s="99">
        <f t="shared" si="17"/>
        <v>-6565000</v>
      </c>
    </row>
    <row r="259" spans="1:12">
      <c r="A259" s="99" t="s">
        <v>4574</v>
      </c>
      <c r="B259" s="18">
        <v>2000000</v>
      </c>
      <c r="C259" s="18">
        <v>0</v>
      </c>
      <c r="D259" s="18">
        <f t="shared" si="18"/>
        <v>2000000</v>
      </c>
      <c r="E259" s="99" t="s">
        <v>3893</v>
      </c>
      <c r="F259" s="99">
        <v>1</v>
      </c>
      <c r="G259" s="36">
        <f t="shared" si="21"/>
        <v>2</v>
      </c>
      <c r="H259" s="99">
        <f t="shared" si="15"/>
        <v>1</v>
      </c>
      <c r="I259" s="99">
        <f t="shared" si="13"/>
        <v>2000000</v>
      </c>
      <c r="J259" s="99">
        <f t="shared" si="20"/>
        <v>0</v>
      </c>
      <c r="K259" s="99">
        <f t="shared" si="17"/>
        <v>2000000</v>
      </c>
    </row>
    <row r="260" spans="1:12">
      <c r="A260" s="99" t="s">
        <v>4576</v>
      </c>
      <c r="B260" s="18">
        <v>-1900000</v>
      </c>
      <c r="C260" s="18">
        <v>0</v>
      </c>
      <c r="D260" s="18">
        <f t="shared" si="18"/>
        <v>-1900000</v>
      </c>
      <c r="E260" s="99" t="s">
        <v>3772</v>
      </c>
      <c r="F260" s="99">
        <v>0</v>
      </c>
      <c r="G260" s="36">
        <f t="shared" si="21"/>
        <v>1</v>
      </c>
      <c r="H260" s="99">
        <f t="shared" si="15"/>
        <v>0</v>
      </c>
      <c r="I260" s="99">
        <f t="shared" si="13"/>
        <v>-1900000</v>
      </c>
      <c r="J260" s="99">
        <f t="shared" si="20"/>
        <v>0</v>
      </c>
      <c r="K260" s="99">
        <f t="shared" si="17"/>
        <v>-1900000</v>
      </c>
    </row>
    <row r="261" spans="1:12">
      <c r="A261" s="99" t="s">
        <v>4576</v>
      </c>
      <c r="B261" s="18">
        <v>-100500</v>
      </c>
      <c r="C261" s="18">
        <v>0</v>
      </c>
      <c r="D261" s="18">
        <f t="shared" si="18"/>
        <v>-100500</v>
      </c>
      <c r="E261" s="99" t="s">
        <v>4580</v>
      </c>
      <c r="F261" s="99">
        <v>0</v>
      </c>
      <c r="G261" s="36">
        <f t="shared" si="21"/>
        <v>1</v>
      </c>
      <c r="H261" s="99">
        <f t="shared" si="15"/>
        <v>0</v>
      </c>
      <c r="I261" s="99">
        <f t="shared" si="13"/>
        <v>-100500</v>
      </c>
      <c r="J261" s="99">
        <f t="shared" si="20"/>
        <v>0</v>
      </c>
      <c r="K261" s="99">
        <f t="shared" si="17"/>
        <v>-100500</v>
      </c>
    </row>
    <row r="262" spans="1:12">
      <c r="A262" s="99" t="s">
        <v>4576</v>
      </c>
      <c r="B262" s="18">
        <v>-68670</v>
      </c>
      <c r="C262" s="18">
        <v>0</v>
      </c>
      <c r="D262" s="18">
        <f t="shared" si="18"/>
        <v>-68670</v>
      </c>
      <c r="E262" s="99" t="s">
        <v>4586</v>
      </c>
      <c r="F262" s="99">
        <v>1</v>
      </c>
      <c r="G262" s="36">
        <f t="shared" si="21"/>
        <v>1</v>
      </c>
      <c r="H262" s="99">
        <f t="shared" si="15"/>
        <v>0</v>
      </c>
      <c r="I262" s="99">
        <f t="shared" si="13"/>
        <v>-68670</v>
      </c>
      <c r="J262" s="99">
        <f t="shared" si="20"/>
        <v>0</v>
      </c>
      <c r="K262" s="99">
        <f t="shared" si="17"/>
        <v>-68670</v>
      </c>
    </row>
    <row r="263" spans="1:12">
      <c r="A263" s="99" t="s">
        <v>4582</v>
      </c>
      <c r="B263" s="18">
        <v>-7100</v>
      </c>
      <c r="C263" s="18">
        <v>0</v>
      </c>
      <c r="D263" s="18">
        <f t="shared" si="18"/>
        <v>-7100</v>
      </c>
      <c r="E263" s="99" t="s">
        <v>4422</v>
      </c>
      <c r="F263" s="99">
        <v>0</v>
      </c>
      <c r="G263" s="36">
        <f>G267+F263</f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  <c r="L263" t="s">
        <v>25</v>
      </c>
    </row>
    <row r="264" spans="1:12">
      <c r="A264" s="99"/>
      <c r="B264" s="18"/>
      <c r="C264" s="18"/>
      <c r="D264" s="18"/>
      <c r="E264" s="99"/>
      <c r="F264" s="99"/>
      <c r="G264" s="36"/>
      <c r="H264" s="99"/>
      <c r="I264" s="99"/>
      <c r="J264" s="99"/>
      <c r="K264" s="99"/>
    </row>
    <row r="265" spans="1:12">
      <c r="A265" s="99"/>
      <c r="B265" s="18"/>
      <c r="C265" s="18"/>
      <c r="D265" s="18"/>
      <c r="E265" s="99"/>
      <c r="F265" s="99"/>
      <c r="G265" s="36"/>
      <c r="H265" s="99"/>
      <c r="I265" s="99"/>
      <c r="J265" s="99"/>
      <c r="K265" s="99"/>
    </row>
    <row r="266" spans="1:12">
      <c r="A266" s="99"/>
      <c r="B266" s="18"/>
      <c r="C266" s="18"/>
      <c r="D266" s="18"/>
      <c r="E266" s="99"/>
      <c r="F266" s="99"/>
      <c r="G266" s="36"/>
      <c r="H266" s="99"/>
      <c r="I266" s="99"/>
      <c r="J266" s="99"/>
      <c r="K266" s="99"/>
    </row>
    <row r="267" spans="1:12">
      <c r="A267" s="99"/>
      <c r="B267" s="18"/>
      <c r="C267" s="18"/>
      <c r="D267" s="18">
        <f t="shared" si="18"/>
        <v>0</v>
      </c>
      <c r="E267" s="99"/>
      <c r="F267" s="99"/>
      <c r="G267" s="36">
        <f t="shared" si="21"/>
        <v>0</v>
      </c>
      <c r="H267" s="99">
        <f t="shared" si="15"/>
        <v>0</v>
      </c>
      <c r="I267" s="99">
        <f t="shared" si="13"/>
        <v>0</v>
      </c>
      <c r="J267" s="99">
        <f t="shared" si="20"/>
        <v>0</v>
      </c>
      <c r="K267" s="99">
        <f t="shared" si="17"/>
        <v>0</v>
      </c>
    </row>
    <row r="268" spans="1:12">
      <c r="A268" s="99"/>
      <c r="B268" s="18"/>
      <c r="C268" s="18"/>
      <c r="D268" s="18">
        <f t="shared" si="18"/>
        <v>0</v>
      </c>
      <c r="E268" s="99"/>
      <c r="F268" s="99"/>
      <c r="G268" s="36">
        <f t="shared" si="21"/>
        <v>0</v>
      </c>
      <c r="H268" s="99">
        <f t="shared" si="15"/>
        <v>0</v>
      </c>
      <c r="I268" s="99">
        <f t="shared" si="13"/>
        <v>0</v>
      </c>
      <c r="J268" s="99">
        <f t="shared" si="20"/>
        <v>0</v>
      </c>
      <c r="K268" s="99">
        <f t="shared" si="17"/>
        <v>0</v>
      </c>
    </row>
    <row r="269" spans="1:12">
      <c r="A269" s="11"/>
      <c r="B269" s="18"/>
      <c r="C269" s="18"/>
      <c r="D269" s="18">
        <f t="shared" si="18"/>
        <v>0</v>
      </c>
      <c r="E269" s="11"/>
      <c r="F269" s="11">
        <v>0</v>
      </c>
      <c r="G269" s="36">
        <f t="shared" si="19"/>
        <v>0</v>
      </c>
      <c r="H269" s="99">
        <f t="shared" si="15"/>
        <v>0</v>
      </c>
      <c r="I269" s="99">
        <f t="shared" si="13"/>
        <v>0</v>
      </c>
      <c r="J269" s="99">
        <f t="shared" si="20"/>
        <v>0</v>
      </c>
      <c r="K269" s="99">
        <f t="shared" si="17"/>
        <v>0</v>
      </c>
    </row>
    <row r="270" spans="1:12">
      <c r="A270" s="11"/>
      <c r="B270" s="29">
        <f>SUM(B2:B269)</f>
        <v>128931</v>
      </c>
      <c r="C270" s="29">
        <f>SUM(C2:C263)</f>
        <v>0</v>
      </c>
      <c r="D270" s="29">
        <f>SUM(D2:D263)</f>
        <v>128931</v>
      </c>
      <c r="E270" s="11"/>
      <c r="F270" s="11"/>
      <c r="G270" s="11"/>
      <c r="H270" s="11"/>
      <c r="I270" s="29">
        <f>SUM(I2:I269)</f>
        <v>18834281347</v>
      </c>
      <c r="J270" s="29">
        <f>SUM(J2:J269)</f>
        <v>8687685429</v>
      </c>
      <c r="K270" s="29">
        <f>SUM(K2:K269)</f>
        <v>10146595918</v>
      </c>
    </row>
    <row r="271" spans="1:12">
      <c r="A271" s="11"/>
      <c r="B271" s="11" t="s">
        <v>283</v>
      </c>
      <c r="C271" s="11" t="s">
        <v>488</v>
      </c>
      <c r="D271" s="11" t="s">
        <v>489</v>
      </c>
      <c r="E271" s="11"/>
      <c r="F271" s="11"/>
      <c r="G271" s="11"/>
      <c r="H271" s="11"/>
      <c r="I271" s="11" t="s">
        <v>485</v>
      </c>
      <c r="J271" s="11" t="s">
        <v>486</v>
      </c>
      <c r="K271" s="11" t="s">
        <v>487</v>
      </c>
    </row>
    <row r="272" spans="1:1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1:11">
      <c r="A273" s="11"/>
      <c r="B273" s="11"/>
      <c r="C273" s="11"/>
      <c r="D273" s="11"/>
      <c r="E273" s="11"/>
      <c r="F273" s="11"/>
      <c r="G273" s="11"/>
      <c r="H273" s="11"/>
      <c r="I273" s="3">
        <f>I270/G2</f>
        <v>19218654.435714286</v>
      </c>
      <c r="J273" s="29">
        <f>J270/G2</f>
        <v>8864985.1316326521</v>
      </c>
      <c r="K273" s="29">
        <f>K270/G2</f>
        <v>10353669.304081632</v>
      </c>
    </row>
    <row r="274" spans="1:11">
      <c r="A274" s="11"/>
      <c r="B274" s="11"/>
      <c r="C274" s="11"/>
      <c r="D274" s="11"/>
      <c r="E274" s="11"/>
      <c r="F274" s="11"/>
      <c r="G274" s="11"/>
      <c r="H274" s="11"/>
      <c r="I274" s="11" t="s">
        <v>491</v>
      </c>
      <c r="J274" s="11" t="s">
        <v>492</v>
      </c>
      <c r="K274" s="11" t="s">
        <v>493</v>
      </c>
    </row>
    <row r="277" spans="1:11" ht="30">
      <c r="B277" s="22" t="s">
        <v>854</v>
      </c>
      <c r="D277" s="98">
        <f>D270-D151+D152</f>
        <v>1325570</v>
      </c>
      <c r="G277" t="s">
        <v>25</v>
      </c>
      <c r="J277">
        <f>J270/I270*1448696</f>
        <v>668239.73255848722</v>
      </c>
      <c r="K277">
        <f>K270/I270*1448696</f>
        <v>780456.2674415129</v>
      </c>
    </row>
    <row r="278" spans="1:11">
      <c r="B278" s="7"/>
    </row>
    <row r="279" spans="1:11">
      <c r="B279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4322</v>
      </c>
      <c r="B4" s="18">
        <v>-3200000</v>
      </c>
      <c r="C4" s="18">
        <v>0</v>
      </c>
      <c r="D4" s="113">
        <f t="shared" si="0"/>
        <v>-3200000</v>
      </c>
      <c r="E4" s="99" t="s">
        <v>4334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4322</v>
      </c>
      <c r="B5" s="18">
        <v>2400000</v>
      </c>
      <c r="C5" s="18">
        <v>0</v>
      </c>
      <c r="D5" s="113">
        <f t="shared" si="0"/>
        <v>2400000</v>
      </c>
      <c r="E5" s="20" t="s">
        <v>4337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4345</v>
      </c>
      <c r="B6" s="18">
        <v>-2000700</v>
      </c>
      <c r="C6" s="18">
        <v>0</v>
      </c>
      <c r="D6" s="113">
        <f t="shared" si="0"/>
        <v>-2000700</v>
      </c>
      <c r="E6" s="19" t="s">
        <v>4346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4345</v>
      </c>
      <c r="B7" s="18">
        <v>-200000</v>
      </c>
      <c r="C7" s="18">
        <v>0</v>
      </c>
      <c r="D7" s="113">
        <f t="shared" si="0"/>
        <v>-200000</v>
      </c>
      <c r="E7" s="19" t="s">
        <v>4347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4345</v>
      </c>
      <c r="B8" s="18">
        <v>-1900000</v>
      </c>
      <c r="C8" s="18">
        <v>0</v>
      </c>
      <c r="D8" s="113">
        <f t="shared" si="0"/>
        <v>-1900000</v>
      </c>
      <c r="E8" s="19" t="s">
        <v>4348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4351</v>
      </c>
      <c r="B9" s="18">
        <v>-50000</v>
      </c>
      <c r="C9" s="18">
        <v>0</v>
      </c>
      <c r="D9" s="113">
        <f t="shared" si="0"/>
        <v>-50000</v>
      </c>
      <c r="E9" s="21" t="s">
        <v>4352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4364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4364</v>
      </c>
      <c r="B11" s="18">
        <v>-3000900</v>
      </c>
      <c r="C11" s="18">
        <v>0</v>
      </c>
      <c r="D11" s="113">
        <f t="shared" si="0"/>
        <v>-3000900</v>
      </c>
      <c r="E11" s="19" t="s">
        <v>4372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4365</v>
      </c>
      <c r="B12" s="18">
        <v>-3000900</v>
      </c>
      <c r="C12" s="18">
        <v>0</v>
      </c>
      <c r="D12" s="113">
        <f t="shared" si="0"/>
        <v>-3000900</v>
      </c>
      <c r="E12" s="20" t="s">
        <v>4372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4365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4384</v>
      </c>
      <c r="B14" s="18">
        <v>-138360</v>
      </c>
      <c r="C14" s="18">
        <v>0</v>
      </c>
      <c r="D14" s="113">
        <f t="shared" si="0"/>
        <v>-138360</v>
      </c>
      <c r="E14" s="20" t="s">
        <v>4385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4387</v>
      </c>
      <c r="B15" s="18">
        <v>-3000900</v>
      </c>
      <c r="C15" s="18">
        <v>0</v>
      </c>
      <c r="D15" s="117">
        <f t="shared" si="0"/>
        <v>-3000900</v>
      </c>
      <c r="E15" s="20" t="s">
        <v>4372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4393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4412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4423</v>
      </c>
      <c r="B18" s="18">
        <v>-4098523</v>
      </c>
      <c r="C18" s="18">
        <v>0</v>
      </c>
      <c r="D18" s="113">
        <f t="shared" si="0"/>
        <v>-4098523</v>
      </c>
      <c r="E18" s="20" t="s">
        <v>4422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4423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4423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4419</v>
      </c>
      <c r="B21" s="18">
        <v>-7500</v>
      </c>
      <c r="C21" s="18">
        <v>0</v>
      </c>
      <c r="D21" s="113">
        <f t="shared" si="0"/>
        <v>-7500</v>
      </c>
      <c r="E21" s="19" t="s">
        <v>4420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4458</v>
      </c>
      <c r="B22" s="18">
        <v>7964</v>
      </c>
      <c r="C22" s="18">
        <v>65497</v>
      </c>
      <c r="D22" s="113">
        <f t="shared" si="0"/>
        <v>-57533</v>
      </c>
      <c r="E22" s="19" t="s">
        <v>4459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4300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4353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4350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4357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4361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4370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4371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4368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4383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4388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4390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4395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4396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4397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4398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4400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4398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4402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4404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4406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4407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4408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4411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4413</v>
      </c>
    </row>
    <row r="82" spans="4:5">
      <c r="D82" s="114">
        <v>-142143</v>
      </c>
      <c r="E82" s="54" t="s">
        <v>4417</v>
      </c>
    </row>
    <row r="83" spans="4:5">
      <c r="D83" s="114">
        <v>-128352</v>
      </c>
      <c r="E83" s="54" t="s">
        <v>4416</v>
      </c>
    </row>
    <row r="84" spans="4:5">
      <c r="D84" s="114">
        <v>-6035000</v>
      </c>
      <c r="E84" s="54" t="s">
        <v>4426</v>
      </c>
    </row>
    <row r="85" spans="4:5">
      <c r="D85" s="114">
        <v>-55957</v>
      </c>
      <c r="E85" s="54" t="s">
        <v>4425</v>
      </c>
    </row>
    <row r="86" spans="4:5">
      <c r="D86" s="114">
        <v>7500</v>
      </c>
      <c r="E86" s="54" t="s">
        <v>4424</v>
      </c>
    </row>
    <row r="87" spans="4:5">
      <c r="D87" s="114">
        <v>1700000</v>
      </c>
      <c r="E87" s="54" t="s">
        <v>4427</v>
      </c>
    </row>
    <row r="88" spans="4:5">
      <c r="D88" s="114">
        <v>129648</v>
      </c>
      <c r="E88" s="54" t="s">
        <v>4428</v>
      </c>
    </row>
    <row r="89" spans="4:5">
      <c r="D89" s="114">
        <v>1000000</v>
      </c>
      <c r="E89" s="54" t="s">
        <v>4433</v>
      </c>
    </row>
    <row r="90" spans="4:5">
      <c r="D90" s="114">
        <v>-53003</v>
      </c>
      <c r="E90" s="54" t="s">
        <v>4434</v>
      </c>
    </row>
    <row r="91" spans="4:5">
      <c r="D91" s="114">
        <v>-23690</v>
      </c>
      <c r="E91" s="54" t="s">
        <v>4434</v>
      </c>
    </row>
    <row r="92" spans="4:5">
      <c r="D92" s="114">
        <v>-216910</v>
      </c>
      <c r="E92" s="54" t="s">
        <v>4436</v>
      </c>
    </row>
    <row r="93" spans="4:5">
      <c r="D93" s="114">
        <v>-30304</v>
      </c>
      <c r="E93" s="54" t="s">
        <v>4440</v>
      </c>
    </row>
    <row r="94" spans="4:5">
      <c r="D94" s="114">
        <v>-10067</v>
      </c>
      <c r="E94" s="54" t="s">
        <v>4441</v>
      </c>
    </row>
    <row r="95" spans="4:5">
      <c r="D95" s="114">
        <v>-16248</v>
      </c>
      <c r="E95" s="54" t="s">
        <v>4443</v>
      </c>
    </row>
    <row r="96" spans="4:5">
      <c r="D96" s="114">
        <v>-87695</v>
      </c>
      <c r="E96" s="54" t="s">
        <v>4444</v>
      </c>
    </row>
    <row r="97" spans="4:7">
      <c r="D97" s="114">
        <v>-29231</v>
      </c>
      <c r="E97" s="54" t="s">
        <v>4445</v>
      </c>
    </row>
    <row r="98" spans="4:7">
      <c r="D98" s="114">
        <v>1000000</v>
      </c>
      <c r="E98" s="54" t="s">
        <v>4446</v>
      </c>
    </row>
    <row r="99" spans="4:7">
      <c r="D99" s="114">
        <v>-35250</v>
      </c>
      <c r="E99" s="54" t="s">
        <v>4447</v>
      </c>
    </row>
    <row r="100" spans="4:7">
      <c r="D100" s="114">
        <v>-57477</v>
      </c>
      <c r="E100" s="54" t="s">
        <v>4448</v>
      </c>
    </row>
    <row r="101" spans="4:7">
      <c r="D101" s="114">
        <v>-13565</v>
      </c>
      <c r="E101" s="54" t="s">
        <v>4449</v>
      </c>
    </row>
    <row r="102" spans="4:7">
      <c r="D102" s="114">
        <v>-9429</v>
      </c>
      <c r="E102" s="54" t="s">
        <v>4450</v>
      </c>
    </row>
    <row r="103" spans="4:7">
      <c r="D103" s="114">
        <v>-600000</v>
      </c>
      <c r="E103" s="54" t="s">
        <v>4451</v>
      </c>
    </row>
    <row r="104" spans="4:7">
      <c r="D104" s="114">
        <v>335</v>
      </c>
      <c r="E104" s="54" t="s">
        <v>4453</v>
      </c>
    </row>
    <row r="105" spans="4:7">
      <c r="D105" s="114">
        <v>31026</v>
      </c>
      <c r="E105" s="54" t="s">
        <v>4454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4366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4367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4291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4292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1248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3471007.3980707391</v>
      </c>
      <c r="C8" s="99">
        <f>B2*B4*B5/(B1*B3)+B7/B6</f>
        <v>294.15316932802875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378992.60192926088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1" t="s">
        <v>1089</v>
      </c>
      <c r="R21" s="211"/>
      <c r="S21" s="211"/>
      <c r="T21" s="211"/>
      <c r="U21" s="96"/>
      <c r="V21" s="96"/>
      <c r="W21" s="96"/>
      <c r="X21" s="96"/>
      <c r="Y21" s="96"/>
      <c r="Z21" s="96"/>
    </row>
    <row r="22" spans="5:35">
      <c r="O22" s="99"/>
      <c r="P22" s="99"/>
      <c r="Q22" s="211"/>
      <c r="R22" s="211"/>
      <c r="S22" s="211"/>
      <c r="T22" s="211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12" t="s">
        <v>1090</v>
      </c>
      <c r="R23" s="213" t="s">
        <v>1091</v>
      </c>
      <c r="S23" s="212" t="s">
        <v>1092</v>
      </c>
      <c r="T23" s="214" t="s">
        <v>1093</v>
      </c>
      <c r="AD23" t="s">
        <v>25</v>
      </c>
    </row>
    <row r="24" spans="5:35">
      <c r="O24" s="99"/>
      <c r="P24" s="99"/>
      <c r="Q24" s="212"/>
      <c r="R24" s="213"/>
      <c r="S24" s="212"/>
      <c r="T24" s="214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M11" sqref="M1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4374</v>
      </c>
      <c r="L21" s="33" t="s">
        <v>4376</v>
      </c>
      <c r="M21" s="96" t="s">
        <v>4375</v>
      </c>
      <c r="N21" s="192" t="s">
        <v>4377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4339</v>
      </c>
      <c r="L23">
        <v>9149046982</v>
      </c>
      <c r="M23" t="s">
        <v>4340</v>
      </c>
      <c r="N23" t="s">
        <v>4341</v>
      </c>
      <c r="O23" t="s">
        <v>4342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1"/>
  <sheetViews>
    <sheetView topLeftCell="M100" zoomScaleNormal="100" workbookViewId="0">
      <selection activeCell="O120" sqref="O120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4358</v>
      </c>
      <c r="AT9" s="99" t="s">
        <v>4359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4381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4360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3850000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سارا!D270</f>
        <v>128931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4380</v>
      </c>
      <c r="V19" s="73" t="s">
        <v>4382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4492</v>
      </c>
      <c r="N20" s="113">
        <v>96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S53</f>
        <v>85</v>
      </c>
      <c r="T20" s="169" t="s">
        <v>4320</v>
      </c>
      <c r="U20" s="169">
        <v>192.1</v>
      </c>
      <c r="V20" s="169">
        <f>U20*(1+$N$82+$Q$15*S20/36500)</f>
        <v>206.77749260273973</v>
      </c>
      <c r="W20" s="32">
        <f t="shared" ref="W20:W31" si="4">V20*(1+$W$19/100)</f>
        <v>210.91304245479452</v>
      </c>
      <c r="X20" s="32">
        <f t="shared" ref="X20:X31" si="5">V20*(1+$X$19/100)</f>
        <v>215.04859230684932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254</v>
      </c>
      <c r="AM20" s="113">
        <f>AJ20*AL20</f>
        <v>4572000000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4505</v>
      </c>
      <c r="L21" s="117">
        <f>-N33</f>
        <v>78421428.219771251</v>
      </c>
      <c r="M21" s="169" t="s">
        <v>4312</v>
      </c>
      <c r="N21" s="113">
        <f t="shared" ref="N21:N30" si="6">O21*P21</f>
        <v>11037195</v>
      </c>
      <c r="O21" s="99">
        <v>64545</v>
      </c>
      <c r="P21" s="190">
        <f>P44</f>
        <v>171</v>
      </c>
      <c r="Q21" s="170">
        <v>1450345</v>
      </c>
      <c r="R21" s="169" t="s">
        <v>4316</v>
      </c>
      <c r="S21" s="196">
        <f>S20-36</f>
        <v>49</v>
      </c>
      <c r="T21" s="169" t="s">
        <v>4321</v>
      </c>
      <c r="U21" s="169">
        <v>313.7</v>
      </c>
      <c r="V21" s="169">
        <f>U21*(1+$N$82+$Q$15*S21/36500)</f>
        <v>329.0051221917808</v>
      </c>
      <c r="W21" s="32">
        <f t="shared" si="4"/>
        <v>335.58522463561644</v>
      </c>
      <c r="X21" s="32">
        <f t="shared" si="5"/>
        <v>342.16532707945203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7">AL22+AK21</f>
        <v>253</v>
      </c>
      <c r="AM21" s="113">
        <f t="shared" ref="AM21:AM101" si="8">AJ21*AL21</f>
        <v>632500000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L62</f>
        <v>265856610.21977127</v>
      </c>
      <c r="G22" s="95">
        <f t="shared" si="0"/>
        <v>2117802.4964220226</v>
      </c>
      <c r="H22" s="11"/>
      <c r="I22" s="96"/>
      <c r="J22" s="96"/>
      <c r="K22" s="169" t="s">
        <v>4508</v>
      </c>
      <c r="L22" s="117">
        <f>-'آذر 97'!D52</f>
        <v>-2407849</v>
      </c>
      <c r="M22" s="169" t="s">
        <v>4325</v>
      </c>
      <c r="N22" s="113">
        <f t="shared" si="6"/>
        <v>9806620.7999999989</v>
      </c>
      <c r="O22" s="99">
        <v>33504</v>
      </c>
      <c r="P22" s="190">
        <f>P47</f>
        <v>292.7</v>
      </c>
      <c r="Q22" s="170">
        <v>400069</v>
      </c>
      <c r="R22" s="169" t="s">
        <v>4322</v>
      </c>
      <c r="S22" s="196">
        <f>S21-1</f>
        <v>48</v>
      </c>
      <c r="T22" s="169" t="s">
        <v>4323</v>
      </c>
      <c r="U22" s="169">
        <v>314.8</v>
      </c>
      <c r="V22" s="169">
        <f>U22*(1+$N$82+$Q$15*S22/36500)</f>
        <v>329.91729972602747</v>
      </c>
      <c r="W22" s="32">
        <f t="shared" si="4"/>
        <v>336.51564572054804</v>
      </c>
      <c r="X22" s="32">
        <f t="shared" si="5"/>
        <v>343.11399171506855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7"/>
        <v>252</v>
      </c>
      <c r="AM22" s="113">
        <f t="shared" si="8"/>
        <v>2016000000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1000</v>
      </c>
      <c r="M23" s="169" t="s">
        <v>4465</v>
      </c>
      <c r="N23" s="113">
        <f t="shared" si="6"/>
        <v>234372.59999999998</v>
      </c>
      <c r="O23" s="99">
        <v>399</v>
      </c>
      <c r="P23" s="190">
        <f>P46</f>
        <v>587.4</v>
      </c>
      <c r="Q23" s="170">
        <v>8690518</v>
      </c>
      <c r="R23" s="169" t="s">
        <v>4322</v>
      </c>
      <c r="S23" s="196">
        <f>S22</f>
        <v>48</v>
      </c>
      <c r="T23" s="169" t="s">
        <v>4324</v>
      </c>
      <c r="U23" s="169">
        <v>313</v>
      </c>
      <c r="V23" s="169">
        <f>U23*(1+$N$82+$Q$15*S23/36500)</f>
        <v>328.03086027397262</v>
      </c>
      <c r="W23" s="32">
        <f t="shared" si="4"/>
        <v>334.59147747945207</v>
      </c>
      <c r="X23" s="32">
        <f t="shared" si="5"/>
        <v>341.15209468493151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7"/>
        <v>251</v>
      </c>
      <c r="AM23" s="113">
        <f t="shared" si="8"/>
        <v>-19967552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6"/>
        <v>3443116.6</v>
      </c>
      <c r="O24" s="99">
        <v>781</v>
      </c>
      <c r="P24" s="99">
        <f>P48</f>
        <v>4408.6000000000004</v>
      </c>
      <c r="Q24" s="170">
        <v>595156</v>
      </c>
      <c r="R24" s="169" t="s">
        <v>4412</v>
      </c>
      <c r="S24" s="197">
        <f>S23-16</f>
        <v>32</v>
      </c>
      <c r="T24" s="169" t="s">
        <v>4415</v>
      </c>
      <c r="U24" s="169">
        <v>5808.5</v>
      </c>
      <c r="V24" s="169">
        <f>U24*(1+$N$82+$Q$15*S24/36500)</f>
        <v>6016.1419397260288</v>
      </c>
      <c r="W24" s="32">
        <f t="shared" si="4"/>
        <v>6136.4647785205498</v>
      </c>
      <c r="X24" s="32">
        <f t="shared" si="5"/>
        <v>6256.7876173150698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7"/>
        <v>250</v>
      </c>
      <c r="AM24" s="113">
        <f t="shared" si="8"/>
        <v>41375000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 t="s">
        <v>4570</v>
      </c>
      <c r="N25" s="113">
        <f t="shared" si="6"/>
        <v>25200</v>
      </c>
      <c r="O25" s="69">
        <v>80</v>
      </c>
      <c r="P25" s="99">
        <f>P50</f>
        <v>315</v>
      </c>
      <c r="Q25" s="170">
        <v>1484689</v>
      </c>
      <c r="R25" s="169" t="s">
        <v>4452</v>
      </c>
      <c r="S25" s="169">
        <f>S24-7</f>
        <v>25</v>
      </c>
      <c r="T25" s="19" t="s">
        <v>4455</v>
      </c>
      <c r="U25" s="169">
        <v>5474</v>
      </c>
      <c r="V25" s="169">
        <f>U25*(1+$N$82+$Q$15*S25/36500)</f>
        <v>5640.2896219178092</v>
      </c>
      <c r="W25" s="32">
        <f t="shared" si="4"/>
        <v>5753.0954143561657</v>
      </c>
      <c r="X25" s="32">
        <f t="shared" si="5"/>
        <v>5865.9012067945214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7"/>
        <v>238</v>
      </c>
      <c r="AM25" s="113">
        <f t="shared" si="8"/>
        <v>-6861617826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/>
      <c r="N26" s="113"/>
      <c r="O26" s="69"/>
      <c r="P26" s="99"/>
      <c r="Q26" s="170">
        <v>2197673</v>
      </c>
      <c r="R26" s="169" t="s">
        <v>4452</v>
      </c>
      <c r="S26" s="169">
        <f>S25</f>
        <v>25</v>
      </c>
      <c r="T26" s="19" t="s">
        <v>4456</v>
      </c>
      <c r="U26" s="169">
        <v>5349</v>
      </c>
      <c r="V26" s="169">
        <f>U26*(1+$N$82+$Q$15*S26/36500)</f>
        <v>5511.4923616438364</v>
      </c>
      <c r="W26" s="32">
        <f t="shared" si="4"/>
        <v>5621.722208876713</v>
      </c>
      <c r="X26" s="32">
        <f t="shared" si="5"/>
        <v>5731.9520561095896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7"/>
        <v>232</v>
      </c>
      <c r="AM26" s="113">
        <f t="shared" si="8"/>
        <v>4292000000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4494</v>
      </c>
      <c r="N27" s="113">
        <v>22</v>
      </c>
      <c r="O27" s="69"/>
      <c r="P27" s="99"/>
      <c r="Q27" s="170">
        <v>1353959</v>
      </c>
      <c r="R27" s="169" t="s">
        <v>4452</v>
      </c>
      <c r="S27" s="204">
        <f>S26</f>
        <v>25</v>
      </c>
      <c r="T27" s="19" t="s">
        <v>4510</v>
      </c>
      <c r="U27" s="169">
        <v>192.2</v>
      </c>
      <c r="V27" s="169">
        <f>U27*(1+$N$82+$Q$15*S27/36500)</f>
        <v>198.0386673972603</v>
      </c>
      <c r="W27" s="32">
        <f t="shared" si="4"/>
        <v>201.9994407452055</v>
      </c>
      <c r="X27" s="32">
        <f t="shared" si="5"/>
        <v>205.96021409315071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7"/>
        <v>231</v>
      </c>
      <c r="AM27" s="113">
        <f t="shared" si="8"/>
        <v>-4285050000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4461</v>
      </c>
      <c r="N28" s="113">
        <f t="shared" si="6"/>
        <v>2610315</v>
      </c>
      <c r="O28" s="69">
        <v>15265</v>
      </c>
      <c r="P28" s="99">
        <f>P44</f>
        <v>171</v>
      </c>
      <c r="Q28" s="170">
        <v>1614398</v>
      </c>
      <c r="R28" s="169" t="s">
        <v>4460</v>
      </c>
      <c r="S28" s="169">
        <f>S27-3</f>
        <v>22</v>
      </c>
      <c r="T28" s="19" t="s">
        <v>4567</v>
      </c>
      <c r="U28" s="169">
        <v>184.6</v>
      </c>
      <c r="V28" s="169">
        <f>U28*(1+$N$82+$Q$15*S28/36500)</f>
        <v>189.78296109589044</v>
      </c>
      <c r="W28" s="32">
        <f t="shared" si="4"/>
        <v>193.57862031780826</v>
      </c>
      <c r="X28" s="32">
        <f t="shared" si="5"/>
        <v>197.37427953972607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7"/>
        <v>230</v>
      </c>
      <c r="AM28" s="113">
        <f t="shared" si="8"/>
        <v>-14941030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94" t="s">
        <v>4570</v>
      </c>
      <c r="N29" s="113">
        <f t="shared" si="6"/>
        <v>25200</v>
      </c>
      <c r="O29" s="36">
        <v>80</v>
      </c>
      <c r="P29" s="99">
        <f>P50</f>
        <v>315</v>
      </c>
      <c r="Q29" s="170">
        <v>146296</v>
      </c>
      <c r="R29" s="169" t="s">
        <v>4463</v>
      </c>
      <c r="S29" s="203">
        <f>S28-2</f>
        <v>20</v>
      </c>
      <c r="T29" s="169" t="s">
        <v>4464</v>
      </c>
      <c r="U29" s="169">
        <v>365</v>
      </c>
      <c r="V29" s="169">
        <f>U29*(1+$N$82+$Q$15*S29/36500)</f>
        <v>374.68800000000005</v>
      </c>
      <c r="W29" s="32">
        <f t="shared" si="4"/>
        <v>382.18176000000005</v>
      </c>
      <c r="X29" s="32">
        <f t="shared" si="5"/>
        <v>389.67552000000006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7"/>
        <v>225</v>
      </c>
      <c r="AM29" s="113">
        <f t="shared" si="8"/>
        <v>1440000000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/>
      <c r="L30" s="117"/>
      <c r="M30" s="194" t="s">
        <v>4468</v>
      </c>
      <c r="N30" s="113">
        <f t="shared" si="6"/>
        <v>233785.19999999998</v>
      </c>
      <c r="O30" s="36">
        <v>398</v>
      </c>
      <c r="P30" s="99">
        <f>P46</f>
        <v>587.4</v>
      </c>
      <c r="Q30" s="170">
        <v>24997</v>
      </c>
      <c r="R30" s="169" t="s">
        <v>4565</v>
      </c>
      <c r="S30" s="203">
        <f>S29-16</f>
        <v>4</v>
      </c>
      <c r="T30" s="169" t="s">
        <v>4572</v>
      </c>
      <c r="U30" s="169">
        <v>315</v>
      </c>
      <c r="V30" s="169">
        <f>U30*(1+$N$82+$Q$15*S30/36500)</f>
        <v>319.49457534246579</v>
      </c>
      <c r="W30" s="32">
        <f t="shared" si="4"/>
        <v>325.88446684931512</v>
      </c>
      <c r="X30" s="32">
        <f t="shared" si="5"/>
        <v>332.27435835616444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7"/>
        <v>224</v>
      </c>
      <c r="AM30" s="113">
        <f t="shared" si="8"/>
        <v>-38080000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25</v>
      </c>
      <c r="L31" s="117"/>
      <c r="M31" s="169"/>
      <c r="N31" s="113"/>
      <c r="P31" t="s">
        <v>25</v>
      </c>
      <c r="Q31" s="170">
        <v>133576</v>
      </c>
      <c r="R31" s="169" t="s">
        <v>4582</v>
      </c>
      <c r="S31" s="203">
        <f>S30-4</f>
        <v>0</v>
      </c>
      <c r="T31" s="169" t="s">
        <v>4583</v>
      </c>
      <c r="U31" s="169">
        <v>166.2</v>
      </c>
      <c r="V31" s="169">
        <f>U31*(1+$N$82+$Q$15*S31/36500)</f>
        <v>168.06144</v>
      </c>
      <c r="W31" s="32">
        <f t="shared" si="4"/>
        <v>171.4226688</v>
      </c>
      <c r="X31" s="32">
        <f t="shared" si="5"/>
        <v>174.78389760000002</v>
      </c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219</v>
      </c>
      <c r="AM31" s="113">
        <f t="shared" si="8"/>
        <v>-1379700000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25</v>
      </c>
      <c r="L32" s="117"/>
      <c r="M32" s="169" t="s">
        <v>756</v>
      </c>
      <c r="N32" s="113">
        <v>3000000</v>
      </c>
      <c r="O32" t="s">
        <v>25</v>
      </c>
      <c r="P32" t="s">
        <v>25</v>
      </c>
      <c r="Q32" s="170"/>
      <c r="R32" s="169"/>
      <c r="S32" s="169"/>
      <c r="T32" s="169"/>
      <c r="U32" s="169"/>
      <c r="V32" s="169" t="s">
        <v>25</v>
      </c>
      <c r="W32" s="32"/>
      <c r="X32" s="32"/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7"/>
        <v>218</v>
      </c>
      <c r="AM32" s="113">
        <f t="shared" si="8"/>
        <v>-11339270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918</v>
      </c>
      <c r="L33" s="117">
        <v>4800000</v>
      </c>
      <c r="M33" s="169" t="s">
        <v>4152</v>
      </c>
      <c r="N33" s="113">
        <f>-S97</f>
        <v>-78421428.219771251</v>
      </c>
      <c r="O33" s="96" t="s">
        <v>25</v>
      </c>
      <c r="P33" s="96" t="s">
        <v>25</v>
      </c>
      <c r="Q33" s="170">
        <f>SUM(N21:N25)-SUM(Q20:Q32)</f>
        <v>-2814158</v>
      </c>
      <c r="R33" s="169"/>
      <c r="S33" s="169" t="s">
        <v>25</v>
      </c>
      <c r="T33" s="169"/>
      <c r="U33" s="169"/>
      <c r="V33" s="169"/>
      <c r="W33" s="32"/>
      <c r="X33" s="32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7"/>
        <v>202</v>
      </c>
      <c r="AM33" s="113">
        <f t="shared" si="8"/>
        <v>4043514800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/>
      <c r="L34" s="117"/>
      <c r="M34" s="169" t="s">
        <v>753</v>
      </c>
      <c r="N34" s="113">
        <v>500000</v>
      </c>
      <c r="O34" s="96"/>
      <c r="P34" s="96"/>
      <c r="R34" s="115"/>
      <c r="S34" s="115" t="s">
        <v>25</v>
      </c>
      <c r="T34" s="115"/>
      <c r="U34" s="115"/>
      <c r="V34" s="115"/>
      <c r="W34" s="200"/>
      <c r="X34" s="200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7"/>
        <v>202</v>
      </c>
      <c r="AM34" s="113">
        <f t="shared" si="8"/>
        <v>204922132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4472</v>
      </c>
      <c r="AU34" s="99" t="s">
        <v>4528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358188786.24271059</v>
      </c>
      <c r="F35" s="3"/>
      <c r="G35" s="11"/>
      <c r="H35" s="11"/>
      <c r="K35" s="169" t="s">
        <v>1086</v>
      </c>
      <c r="L35" s="117">
        <f>61*P15</f>
        <v>234850000</v>
      </c>
      <c r="M35" s="169" t="s">
        <v>760</v>
      </c>
      <c r="N35" s="113">
        <v>1200000</v>
      </c>
      <c r="O35" t="s">
        <v>25</v>
      </c>
      <c r="P35" t="s">
        <v>25</v>
      </c>
      <c r="Q35" s="96"/>
      <c r="R35" s="115"/>
      <c r="S35" s="115"/>
      <c r="T35" s="115"/>
      <c r="U35" s="115"/>
      <c r="V35" s="115"/>
      <c r="W35" s="200"/>
      <c r="X35" s="200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7"/>
        <v>190</v>
      </c>
      <c r="AM35" s="113">
        <f t="shared" si="8"/>
        <v>68400000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4521</v>
      </c>
      <c r="AU35" s="99" t="s">
        <v>4527</v>
      </c>
      <c r="AV35" s="170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366196750.44670284</v>
      </c>
      <c r="F36" s="3"/>
      <c r="G36" s="11"/>
      <c r="H36" s="11"/>
      <c r="K36" s="169" t="s">
        <v>4477</v>
      </c>
      <c r="L36" s="117">
        <v>-50000000</v>
      </c>
      <c r="M36" s="73"/>
      <c r="N36" s="113"/>
      <c r="O36" s="96"/>
      <c r="P36" s="96"/>
      <c r="Q36" s="169" t="s">
        <v>657</v>
      </c>
      <c r="R36" s="169"/>
      <c r="S36" s="169"/>
      <c r="T36" s="169"/>
      <c r="U36" s="169"/>
      <c r="V36" s="169"/>
      <c r="W36" s="32"/>
      <c r="X36" s="32"/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7"/>
        <v>188</v>
      </c>
      <c r="AM36" s="113">
        <f t="shared" si="8"/>
        <v>-65800000</v>
      </c>
      <c r="AN36" s="99"/>
      <c r="AP36" s="96"/>
      <c r="AQ36" s="99">
        <v>6</v>
      </c>
      <c r="AR36" s="170" t="s">
        <v>4247</v>
      </c>
      <c r="AS36" s="99">
        <v>-1000</v>
      </c>
      <c r="AT36" s="99" t="s">
        <v>4565</v>
      </c>
      <c r="AU36" s="99" t="s">
        <v>4566</v>
      </c>
      <c r="AV36" s="170"/>
      <c r="AW36" s="96"/>
      <c r="AX36" s="96"/>
      <c r="AY36" s="96"/>
      <c r="AZ36" s="96"/>
      <c r="BA36" s="96"/>
      <c r="BB36" s="96"/>
    </row>
    <row r="37" spans="1:54" ht="30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374373315.81956631</v>
      </c>
      <c r="F37" s="3"/>
      <c r="G37" s="11"/>
      <c r="H37" s="11"/>
      <c r="K37" s="169" t="s">
        <v>4336</v>
      </c>
      <c r="L37" s="117">
        <v>-2000000</v>
      </c>
      <c r="M37" s="169" t="s">
        <v>1086</v>
      </c>
      <c r="N37" s="113">
        <f>65*P15</f>
        <v>250250000</v>
      </c>
      <c r="O37" s="96"/>
      <c r="P37" s="96"/>
      <c r="Q37" s="169" t="s">
        <v>267</v>
      </c>
      <c r="R37" s="169" t="s">
        <v>180</v>
      </c>
      <c r="S37" s="169" t="s">
        <v>183</v>
      </c>
      <c r="T37" s="169" t="s">
        <v>8</v>
      </c>
      <c r="U37" s="169" t="s">
        <v>4380</v>
      </c>
      <c r="V37" s="73" t="s">
        <v>4382</v>
      </c>
      <c r="W37" s="32">
        <v>2</v>
      </c>
      <c r="X37" s="32">
        <v>4</v>
      </c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7"/>
        <v>188</v>
      </c>
      <c r="AM37" s="113">
        <f t="shared" si="8"/>
        <v>188000</v>
      </c>
      <c r="AN37" s="99"/>
      <c r="AP37" s="96"/>
      <c r="AQ37" s="183"/>
      <c r="AR37" s="184" t="s">
        <v>4250</v>
      </c>
      <c r="AS37" s="183"/>
      <c r="AT37" s="183"/>
      <c r="AU37" s="183"/>
      <c r="AV37" s="184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382721938.80352634</v>
      </c>
      <c r="F38" s="3"/>
      <c r="G38" s="11"/>
      <c r="H38" s="11"/>
      <c r="K38" s="169" t="s">
        <v>4555</v>
      </c>
      <c r="L38" s="117">
        <v>-2000000</v>
      </c>
      <c r="M38" s="169" t="s">
        <v>4475</v>
      </c>
      <c r="N38" s="113">
        <v>-20000000</v>
      </c>
      <c r="O38" s="96"/>
      <c r="P38" s="96"/>
      <c r="Q38" s="169">
        <v>0</v>
      </c>
      <c r="R38" s="169" t="s">
        <v>4175</v>
      </c>
      <c r="S38" s="169">
        <f>S53</f>
        <v>85</v>
      </c>
      <c r="T38" s="169"/>
      <c r="U38" s="169"/>
      <c r="V38" s="73"/>
      <c r="W38" s="32"/>
      <c r="X38" s="32"/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7"/>
        <v>187</v>
      </c>
      <c r="AM38" s="113">
        <f t="shared" si="8"/>
        <v>6285070000</v>
      </c>
      <c r="AN38" s="99"/>
      <c r="AP38" s="96"/>
      <c r="AQ38" s="183"/>
      <c r="AR38" s="184" t="s">
        <v>4247</v>
      </c>
      <c r="AS38" s="183">
        <f>SUM(AS31:AS36)</f>
        <v>3622</v>
      </c>
      <c r="AT38" s="183" t="s">
        <v>4472</v>
      </c>
      <c r="AU38" s="183" t="s">
        <v>4266</v>
      </c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391246145.81384128</v>
      </c>
      <c r="F39" s="3"/>
      <c r="G39" s="11"/>
      <c r="H39" s="11"/>
      <c r="K39" s="169"/>
      <c r="L39" s="117"/>
      <c r="M39" s="169" t="s">
        <v>4476</v>
      </c>
      <c r="N39" s="113">
        <v>-50000000</v>
      </c>
      <c r="O39" s="96"/>
      <c r="P39" s="96"/>
      <c r="Q39" s="170">
        <v>863944</v>
      </c>
      <c r="R39" s="169" t="s">
        <v>4460</v>
      </c>
      <c r="S39" s="169">
        <f>S38-62</f>
        <v>23</v>
      </c>
      <c r="T39" s="195" t="s">
        <v>4568</v>
      </c>
      <c r="U39" s="169">
        <v>184.6</v>
      </c>
      <c r="V39" s="169">
        <f>U39*(1+$N$82+$Q$15*S39/36500)</f>
        <v>189.92457205479454</v>
      </c>
      <c r="W39" s="32">
        <f>V39*(1+$W$19/100)</f>
        <v>193.72306349589044</v>
      </c>
      <c r="X39" s="32">
        <f>V39*(1+$X$19/100)</f>
        <v>197.52155493698632</v>
      </c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7"/>
        <v>183</v>
      </c>
      <c r="AM39" s="113">
        <f t="shared" si="8"/>
        <v>-2854800000</v>
      </c>
      <c r="AN39" s="99"/>
      <c r="AP39" s="96"/>
      <c r="AQ39" s="183"/>
      <c r="AR39" s="184"/>
      <c r="AS39" s="183"/>
      <c r="AT39" s="183"/>
      <c r="AU39" s="183"/>
      <c r="AV39" s="184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399949534.64670491</v>
      </c>
      <c r="F40" s="3"/>
      <c r="G40" s="11"/>
      <c r="H40" s="11"/>
      <c r="K40" s="99" t="s">
        <v>4435</v>
      </c>
      <c r="L40" s="117">
        <v>3000000</v>
      </c>
      <c r="M40" s="169"/>
      <c r="N40" s="113"/>
      <c r="O40" s="96"/>
      <c r="P40" s="96"/>
      <c r="Q40" s="170">
        <v>145929</v>
      </c>
      <c r="R40" s="169" t="s">
        <v>4463</v>
      </c>
      <c r="S40" s="203">
        <f>S39-2</f>
        <v>21</v>
      </c>
      <c r="T40" s="194" t="s">
        <v>4467</v>
      </c>
      <c r="U40" s="169">
        <v>365</v>
      </c>
      <c r="V40" s="169">
        <f>U40*(1+$N$82+$Q$15*S40/36500)</f>
        <v>374.96800000000002</v>
      </c>
      <c r="W40" s="32">
        <f>V40*(1+$W$19/100)</f>
        <v>382.46736000000004</v>
      </c>
      <c r="X40" s="32">
        <f>V40*(1+$X$19/100)</f>
        <v>389.96672000000001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7"/>
        <v>180</v>
      </c>
      <c r="AM40" s="113">
        <f t="shared" si="8"/>
        <v>1350000000</v>
      </c>
      <c r="AN40" s="99"/>
      <c r="AP40" s="96"/>
      <c r="AQ40" s="99"/>
      <c r="AR40" s="170"/>
      <c r="AS40" s="99"/>
      <c r="AT40" s="99"/>
      <c r="AU40" s="99"/>
      <c r="AV40" s="170"/>
      <c r="AW40" s="96"/>
      <c r="AX40" s="96"/>
      <c r="AY40" s="96"/>
      <c r="AZ40" s="96"/>
      <c r="BA40" s="96"/>
      <c r="BB40" s="96"/>
    </row>
    <row r="41" spans="1:54" ht="18.75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408835775.91539168</v>
      </c>
      <c r="F41" s="3"/>
      <c r="G41" s="11"/>
      <c r="H41" s="11"/>
      <c r="K41" s="99"/>
      <c r="L41" s="117"/>
      <c r="M41" s="169" t="s">
        <v>4493</v>
      </c>
      <c r="N41" s="113">
        <v>52</v>
      </c>
      <c r="Q41" s="170">
        <v>25314</v>
      </c>
      <c r="R41" s="169" t="s">
        <v>4565</v>
      </c>
      <c r="S41" s="203">
        <f>S40-16</f>
        <v>5</v>
      </c>
      <c r="T41" s="194" t="s">
        <v>4571</v>
      </c>
      <c r="U41" s="169">
        <v>315</v>
      </c>
      <c r="V41" s="169">
        <f>U41*(1+$N$82+$Q$15*S41/36500)</f>
        <v>319.73621917808225</v>
      </c>
      <c r="W41" s="32">
        <f t="shared" ref="W41:W44" si="12">V41*(1+$W$19/100)</f>
        <v>326.1309435616439</v>
      </c>
      <c r="X41" s="32">
        <f t="shared" ref="X41:X44" si="13">V41*(1+$X$19/100)</f>
        <v>332.52566794520556</v>
      </c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7"/>
        <v>176</v>
      </c>
      <c r="AM41" s="113">
        <f t="shared" si="8"/>
        <v>-17248000</v>
      </c>
      <c r="AN41" s="99"/>
      <c r="AP41" s="96"/>
      <c r="AQ41" s="99"/>
      <c r="AR41" s="170"/>
      <c r="AS41" s="99"/>
      <c r="AT41" s="180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417908614.51520973</v>
      </c>
      <c r="F42" s="3"/>
      <c r="G42" s="11"/>
      <c r="H42" s="11"/>
      <c r="K42" s="56"/>
      <c r="L42" s="117"/>
      <c r="M42" s="169"/>
      <c r="N42" s="113"/>
      <c r="O42" s="99"/>
      <c r="P42" s="99"/>
      <c r="Q42" s="170">
        <v>1692313</v>
      </c>
      <c r="R42" s="169" t="s">
        <v>4576</v>
      </c>
      <c r="S42" s="203">
        <f>S41-3</f>
        <v>2</v>
      </c>
      <c r="T42" s="194" t="s">
        <v>4577</v>
      </c>
      <c r="U42" s="169">
        <v>168.5</v>
      </c>
      <c r="V42" s="169">
        <f>U42*(1+$N$82+$Q$15*S42/36500)</f>
        <v>170.64572054794522</v>
      </c>
      <c r="W42" s="32">
        <f t="shared" si="12"/>
        <v>174.05863495890412</v>
      </c>
      <c r="X42" s="32">
        <f t="shared" si="13"/>
        <v>177.47154936986303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7"/>
        <v>175</v>
      </c>
      <c r="AM42" s="113">
        <f t="shared" si="8"/>
        <v>-4550000000</v>
      </c>
      <c r="AN42" s="99"/>
      <c r="AP42" s="96"/>
      <c r="AQ42" s="99"/>
      <c r="AR42" s="99"/>
      <c r="AS42" s="99"/>
      <c r="AT42" s="99"/>
      <c r="AU42" s="99"/>
      <c r="AV42" s="170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427171871.11783922</v>
      </c>
      <c r="F43" s="3"/>
      <c r="G43" s="11"/>
      <c r="H43" s="11"/>
      <c r="K43" s="56" t="s">
        <v>4478</v>
      </c>
      <c r="L43" s="117">
        <v>145929</v>
      </c>
      <c r="M43" s="32" t="s">
        <v>4410</v>
      </c>
      <c r="N43" s="113">
        <f t="shared" ref="N43:N52" si="14">O43*P43</f>
        <v>1996931.3</v>
      </c>
      <c r="O43" s="99">
        <v>611</v>
      </c>
      <c r="P43" s="99">
        <v>3268.3</v>
      </c>
      <c r="Q43" s="170">
        <v>101153</v>
      </c>
      <c r="R43" s="169" t="s">
        <v>4582</v>
      </c>
      <c r="S43" s="203">
        <f>S42-1</f>
        <v>1</v>
      </c>
      <c r="T43" s="194" t="s">
        <v>4584</v>
      </c>
      <c r="U43" s="169">
        <v>166.7</v>
      </c>
      <c r="V43" s="169">
        <f>U43*(1+$N$82+$Q$15*S43/36500)</f>
        <v>168.69491945205479</v>
      </c>
      <c r="W43" s="32">
        <f t="shared" si="12"/>
        <v>172.06881784109589</v>
      </c>
      <c r="X43" s="32">
        <f t="shared" si="13"/>
        <v>175.44271623013699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7"/>
        <v>175</v>
      </c>
      <c r="AM43" s="113">
        <f t="shared" si="8"/>
        <v>4375000000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436629443.69564456</v>
      </c>
      <c r="F44" s="3"/>
      <c r="G44" s="11"/>
      <c r="H44" s="11"/>
      <c r="K44" s="56" t="s">
        <v>4556</v>
      </c>
      <c r="L44" s="117">
        <v>-77100</v>
      </c>
      <c r="M44" s="169" t="s">
        <v>4182</v>
      </c>
      <c r="N44" s="113">
        <f t="shared" si="14"/>
        <v>191125674</v>
      </c>
      <c r="O44" s="99">
        <v>1117694</v>
      </c>
      <c r="P44" s="99">
        <v>171</v>
      </c>
      <c r="Q44" s="170"/>
      <c r="R44" s="169"/>
      <c r="S44" s="113"/>
      <c r="T44" s="113"/>
      <c r="U44" s="169"/>
      <c r="V44" s="169">
        <f>U44*(1+$N$82+$Q$15*S44/36500)</f>
        <v>0</v>
      </c>
      <c r="W44" s="32">
        <f t="shared" si="12"/>
        <v>0</v>
      </c>
      <c r="X44" s="32">
        <f t="shared" si="13"/>
        <v>0</v>
      </c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7"/>
        <v>174</v>
      </c>
      <c r="AM44" s="113">
        <f t="shared" si="8"/>
        <v>19140000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446285309.07656044</v>
      </c>
      <c r="F45" s="3"/>
      <c r="G45" s="11"/>
      <c r="H45" s="11"/>
      <c r="K45" s="56" t="s">
        <v>4581</v>
      </c>
      <c r="L45" s="117">
        <v>100000</v>
      </c>
      <c r="M45" s="169" t="s">
        <v>4519</v>
      </c>
      <c r="N45" s="113">
        <f t="shared" si="14"/>
        <v>619362</v>
      </c>
      <c r="O45" s="99">
        <v>3622</v>
      </c>
      <c r="P45" s="99">
        <f>P44</f>
        <v>171</v>
      </c>
      <c r="Q45" s="113">
        <f>SUM(N28:N30)-SUM(Q38:Q44)</f>
        <v>40647.200000000186</v>
      </c>
      <c r="R45" s="169"/>
      <c r="S45" s="169"/>
      <c r="T45" s="169"/>
      <c r="U45" s="169"/>
      <c r="V45" s="169"/>
      <c r="W45" s="32"/>
      <c r="X45" s="32"/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7"/>
        <v>173</v>
      </c>
      <c r="AM45" s="113">
        <f t="shared" si="8"/>
        <v>65740000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456143524.53016472</v>
      </c>
      <c r="F46" s="3"/>
      <c r="G46" s="11"/>
      <c r="H46" s="11"/>
      <c r="K46" s="56"/>
      <c r="L46" s="117"/>
      <c r="M46" s="169" t="s">
        <v>4466</v>
      </c>
      <c r="N46" s="113">
        <f t="shared" si="14"/>
        <v>233785.19999999998</v>
      </c>
      <c r="O46" s="99">
        <v>398</v>
      </c>
      <c r="P46" s="99">
        <v>587.4</v>
      </c>
      <c r="R46" s="115"/>
      <c r="S46" s="115"/>
      <c r="T46" s="115" t="s">
        <v>25</v>
      </c>
      <c r="U46" s="115"/>
      <c r="V46" s="115"/>
      <c r="W46" s="200"/>
      <c r="X46" s="200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7"/>
        <v>166</v>
      </c>
      <c r="AM46" s="113">
        <f t="shared" si="8"/>
        <v>74700000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466208229.38556182</v>
      </c>
      <c r="F47" s="3"/>
      <c r="G47" s="11"/>
      <c r="H47" s="11"/>
      <c r="K47" s="99"/>
      <c r="L47" s="117"/>
      <c r="M47" s="169" t="s">
        <v>4307</v>
      </c>
      <c r="N47" s="113">
        <f t="shared" si="14"/>
        <v>8589866.9000000004</v>
      </c>
      <c r="O47" s="69">
        <v>29347</v>
      </c>
      <c r="P47" s="69">
        <v>292.7</v>
      </c>
      <c r="Q47" t="s">
        <v>25</v>
      </c>
      <c r="S47" s="26" t="s">
        <v>25</v>
      </c>
      <c r="T47" t="s">
        <v>25</v>
      </c>
      <c r="U47" s="96" t="s">
        <v>25</v>
      </c>
      <c r="V47" s="115" t="s">
        <v>25</v>
      </c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7"/>
        <v>160</v>
      </c>
      <c r="AM47" s="113">
        <f t="shared" si="8"/>
        <v>448000000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476483646.68171477</v>
      </c>
      <c r="F48" s="3"/>
      <c r="G48" s="11"/>
      <c r="H48" s="11" t="s">
        <v>611</v>
      </c>
      <c r="K48" s="99"/>
      <c r="L48" s="117"/>
      <c r="M48" s="169" t="s">
        <v>4414</v>
      </c>
      <c r="N48" s="113">
        <f t="shared" si="14"/>
        <v>3381396.2</v>
      </c>
      <c r="O48" s="69">
        <v>767</v>
      </c>
      <c r="P48" s="69">
        <v>4408.6000000000004</v>
      </c>
      <c r="T48" t="s">
        <v>25</v>
      </c>
      <c r="W48" s="200"/>
      <c r="X48" s="200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7"/>
        <v>159</v>
      </c>
      <c r="AM48" s="113">
        <f t="shared" si="8"/>
        <v>-238500000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486974084.8508752</v>
      </c>
      <c r="F49" s="3"/>
      <c r="G49" s="11"/>
      <c r="H49" s="11"/>
      <c r="K49" s="99"/>
      <c r="L49" s="117"/>
      <c r="M49" s="169" t="s">
        <v>4430</v>
      </c>
      <c r="N49" s="117">
        <f t="shared" si="14"/>
        <v>4551045.3</v>
      </c>
      <c r="O49" s="69">
        <v>10431</v>
      </c>
      <c r="P49" s="69">
        <v>436.3</v>
      </c>
      <c r="T49" t="s">
        <v>25</v>
      </c>
      <c r="U49" s="96" t="s">
        <v>25</v>
      </c>
      <c r="W49" s="200"/>
      <c r="X49" s="200"/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159</v>
      </c>
      <c r="AM49" s="113">
        <f t="shared" si="8"/>
        <v>484950000</v>
      </c>
      <c r="AN49" s="99"/>
    </row>
    <row r="50" spans="1:40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497683939.43577409</v>
      </c>
      <c r="F50" s="51"/>
      <c r="G50" s="11"/>
      <c r="H50" s="11"/>
      <c r="K50" s="99"/>
      <c r="L50" s="117"/>
      <c r="M50" s="73" t="s">
        <v>4570</v>
      </c>
      <c r="N50" s="117">
        <f t="shared" si="14"/>
        <v>24885</v>
      </c>
      <c r="O50" s="69">
        <v>79</v>
      </c>
      <c r="P50" s="69">
        <v>315</v>
      </c>
      <c r="W50" s="200"/>
      <c r="X50" s="200"/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7"/>
        <v>156</v>
      </c>
      <c r="AM50" s="113">
        <f t="shared" si="8"/>
        <v>-1294739472</v>
      </c>
      <c r="AN50" s="99"/>
    </row>
    <row r="51" spans="1:40" ht="30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508617694.84124976</v>
      </c>
      <c r="F51" s="3"/>
      <c r="G51" s="11"/>
      <c r="H51" s="11"/>
      <c r="K51" s="99"/>
      <c r="L51" s="117"/>
      <c r="M51" s="73" t="s">
        <v>4562</v>
      </c>
      <c r="N51" s="117">
        <f t="shared" si="14"/>
        <v>767282.3</v>
      </c>
      <c r="O51" s="69">
        <v>271</v>
      </c>
      <c r="P51" s="69">
        <v>2831.3</v>
      </c>
      <c r="Q51" s="73" t="s">
        <v>4306</v>
      </c>
      <c r="R51" s="112"/>
      <c r="S51" s="112"/>
      <c r="T51" s="112"/>
      <c r="U51" s="169" t="s">
        <v>4380</v>
      </c>
      <c r="V51" s="36" t="s">
        <v>4382</v>
      </c>
      <c r="W51" s="32"/>
      <c r="X51" s="32"/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7"/>
        <v>154</v>
      </c>
      <c r="AM51" s="113">
        <f t="shared" si="8"/>
        <v>770000000</v>
      </c>
      <c r="AN51" s="99"/>
    </row>
    <row r="52" spans="1:40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519779926.12100261</v>
      </c>
      <c r="F52" s="3"/>
      <c r="G52" s="11"/>
      <c r="H52" s="11"/>
      <c r="K52" s="99"/>
      <c r="L52" s="117"/>
      <c r="M52" s="73" t="s">
        <v>1086</v>
      </c>
      <c r="N52" s="117">
        <f t="shared" si="14"/>
        <v>22266000</v>
      </c>
      <c r="O52" s="69">
        <v>60</v>
      </c>
      <c r="P52" s="69">
        <v>371100</v>
      </c>
      <c r="Q52" s="112" t="s">
        <v>267</v>
      </c>
      <c r="R52" s="112" t="s">
        <v>180</v>
      </c>
      <c r="S52" s="112" t="s">
        <v>183</v>
      </c>
      <c r="T52" s="112" t="s">
        <v>8</v>
      </c>
      <c r="U52" s="169"/>
      <c r="V52" s="99"/>
      <c r="W52" s="32">
        <v>2</v>
      </c>
      <c r="X52" s="32">
        <v>4</v>
      </c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7"/>
        <v>140</v>
      </c>
      <c r="AM52" s="113">
        <f t="shared" si="8"/>
        <v>-12600000</v>
      </c>
      <c r="AN52" s="99"/>
    </row>
    <row r="53" spans="1:40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531175300.80017978</v>
      </c>
      <c r="F53" s="3"/>
      <c r="G53" s="11"/>
      <c r="H53" s="11"/>
      <c r="K53" s="99"/>
      <c r="L53" s="117"/>
      <c r="M53" s="169" t="s">
        <v>1154</v>
      </c>
      <c r="N53" s="117">
        <v>14908</v>
      </c>
      <c r="O53" s="96" t="s">
        <v>25</v>
      </c>
      <c r="P53" t="s">
        <v>25</v>
      </c>
      <c r="Q53" s="170">
        <v>184971545</v>
      </c>
      <c r="R53" s="169" t="s">
        <v>4175</v>
      </c>
      <c r="S53" s="196">
        <v>85</v>
      </c>
      <c r="T53" s="169" t="s">
        <v>4363</v>
      </c>
      <c r="U53" s="169">
        <v>192</v>
      </c>
      <c r="V53" s="99">
        <f>U53*(1+$N$82+$Q$15*S53/36500)</f>
        <v>206.66985205479452</v>
      </c>
      <c r="W53" s="32">
        <f t="shared" ref="W53:W82" si="15">V53*(1+$W$19/100)</f>
        <v>210.80324909589041</v>
      </c>
      <c r="X53" s="32">
        <f t="shared" ref="X53:X82" si="16">V53*(1+$X$19/100)</f>
        <v>214.9366461369863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7"/>
        <v>139</v>
      </c>
      <c r="AM53" s="113">
        <f t="shared" si="8"/>
        <v>778400000</v>
      </c>
      <c r="AN53" s="99"/>
    </row>
    <row r="54" spans="1:40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542808580.73450804</v>
      </c>
      <c r="F54" s="3"/>
      <c r="G54" s="11"/>
      <c r="H54" s="11"/>
      <c r="K54" s="99"/>
      <c r="L54" s="99"/>
      <c r="M54" s="169" t="s">
        <v>1155</v>
      </c>
      <c r="N54" s="117">
        <v>5282</v>
      </c>
      <c r="O54" s="96"/>
      <c r="Q54" s="170">
        <v>692463</v>
      </c>
      <c r="R54" s="169" t="s">
        <v>4264</v>
      </c>
      <c r="S54" s="196">
        <f>S53-21</f>
        <v>64</v>
      </c>
      <c r="T54" s="169" t="s">
        <v>4564</v>
      </c>
      <c r="U54" s="169">
        <v>190.3</v>
      </c>
      <c r="V54" s="99">
        <f>U54*(1+$N$82+$Q$15*S54/36500)</f>
        <v>201.77430794520549</v>
      </c>
      <c r="W54" s="32">
        <f t="shared" si="15"/>
        <v>205.80979410410961</v>
      </c>
      <c r="X54" s="32">
        <f t="shared" si="16"/>
        <v>209.84528026301371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7"/>
        <v>135</v>
      </c>
      <c r="AM54" s="113">
        <f t="shared" si="8"/>
        <v>101250000</v>
      </c>
      <c r="AN54" s="99"/>
    </row>
    <row r="55" spans="1:40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554684624.00670612</v>
      </c>
      <c r="F55" s="3"/>
      <c r="G55" s="11"/>
      <c r="H55" s="11"/>
      <c r="K55" s="169"/>
      <c r="L55" s="117"/>
      <c r="M55" s="169"/>
      <c r="N55" s="113"/>
      <c r="O55" s="115"/>
      <c r="P55" s="115"/>
      <c r="Q55" s="170">
        <v>9560464</v>
      </c>
      <c r="R55" s="169" t="s">
        <v>4310</v>
      </c>
      <c r="S55" s="196">
        <f>S54-11</f>
        <v>53</v>
      </c>
      <c r="T55" s="169" t="s">
        <v>4327</v>
      </c>
      <c r="U55" s="169">
        <v>214.57</v>
      </c>
      <c r="V55" s="99">
        <f>U55*(1+$N$82+$Q$15*S55/36500)</f>
        <v>225.69707112328769</v>
      </c>
      <c r="W55" s="32">
        <f t="shared" si="15"/>
        <v>230.21101254575345</v>
      </c>
      <c r="X55" s="32">
        <f t="shared" si="16"/>
        <v>234.72495396821921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7"/>
        <v>133</v>
      </c>
      <c r="AM55" s="171">
        <f t="shared" si="8"/>
        <v>-564186000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566808386.86092329</v>
      </c>
      <c r="F56" s="3"/>
      <c r="G56" s="11"/>
      <c r="H56" s="11"/>
      <c r="K56" s="169" t="s">
        <v>25</v>
      </c>
      <c r="L56" s="117"/>
      <c r="M56" s="169" t="s">
        <v>4183</v>
      </c>
      <c r="N56" s="113">
        <f>-O56*P56</f>
        <v>-14154183</v>
      </c>
      <c r="O56" s="99">
        <v>82773</v>
      </c>
      <c r="P56" s="99">
        <f>P44</f>
        <v>171</v>
      </c>
      <c r="Q56" s="170">
        <v>2000000</v>
      </c>
      <c r="R56" s="169" t="s">
        <v>4358</v>
      </c>
      <c r="S56" s="169">
        <f>S55-11</f>
        <v>42</v>
      </c>
      <c r="T56" s="169" t="s">
        <v>4362</v>
      </c>
      <c r="U56" s="169">
        <v>206.8</v>
      </c>
      <c r="V56" s="99">
        <f>U56*(1+$N$82+$Q$15*S56/36500)</f>
        <v>215.77908602739731</v>
      </c>
      <c r="W56" s="32">
        <f t="shared" si="15"/>
        <v>220.09466774794527</v>
      </c>
      <c r="X56" s="32">
        <f t="shared" si="16"/>
        <v>224.41024946849322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7"/>
        <v>131</v>
      </c>
      <c r="AM56" s="113">
        <f t="shared" si="8"/>
        <v>537100000</v>
      </c>
      <c r="AN56" s="99"/>
    </row>
    <row r="57" spans="1:40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579184925.67596567</v>
      </c>
      <c r="F57" s="3"/>
      <c r="G57" s="11"/>
      <c r="H57" s="11"/>
      <c r="K57" s="169"/>
      <c r="L57" s="117"/>
      <c r="M57" s="169"/>
      <c r="N57" s="113"/>
      <c r="Q57" s="170">
        <v>1457531</v>
      </c>
      <c r="R57" s="169" t="s">
        <v>4393</v>
      </c>
      <c r="S57" s="196">
        <f>S56-6</f>
        <v>36</v>
      </c>
      <c r="T57" s="169" t="s">
        <v>4394</v>
      </c>
      <c r="U57" s="169">
        <v>310</v>
      </c>
      <c r="V57" s="99">
        <f>U57*(1+$N$82+$Q$15*S57/36500)</f>
        <v>322.033095890411</v>
      </c>
      <c r="W57" s="32">
        <f t="shared" si="15"/>
        <v>328.4737578082192</v>
      </c>
      <c r="X57" s="32">
        <f t="shared" si="16"/>
        <v>334.91441972602746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7"/>
        <v>131</v>
      </c>
      <c r="AM57" s="113">
        <f t="shared" si="8"/>
        <v>537100000</v>
      </c>
      <c r="AN57" s="99"/>
    </row>
    <row r="58" spans="1:40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591819398.97808707</v>
      </c>
      <c r="F58" s="3"/>
      <c r="G58" s="11"/>
      <c r="H58" s="11"/>
      <c r="K58" s="169"/>
      <c r="L58" s="117"/>
      <c r="M58" s="169" t="s">
        <v>4462</v>
      </c>
      <c r="N58" s="113">
        <f>-S98</f>
        <v>-2246943.0027559176</v>
      </c>
      <c r="Q58" s="170">
        <v>1429825</v>
      </c>
      <c r="R58" s="169" t="s">
        <v>4389</v>
      </c>
      <c r="S58" s="169">
        <f>S57-1</f>
        <v>35</v>
      </c>
      <c r="T58" s="169" t="s">
        <v>4399</v>
      </c>
      <c r="U58" s="169">
        <v>203.9</v>
      </c>
      <c r="V58" s="99">
        <f>U58*(1+$N$82+$Q$15*S58/36500)</f>
        <v>211.65825534246579</v>
      </c>
      <c r="W58" s="32">
        <f t="shared" si="15"/>
        <v>215.89142044931512</v>
      </c>
      <c r="X58" s="32">
        <f t="shared" si="16"/>
        <v>220.12458555616442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7"/>
        <v>130</v>
      </c>
      <c r="AM58" s="113">
        <f t="shared" si="8"/>
        <v>102700000</v>
      </c>
      <c r="AN58" s="99"/>
    </row>
    <row r="59" spans="1:40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604717069.49413705</v>
      </c>
      <c r="F59" s="3"/>
      <c r="G59" s="11"/>
      <c r="H59" s="11"/>
      <c r="K59" s="169"/>
      <c r="L59" s="117"/>
      <c r="M59" s="169" t="s">
        <v>4479</v>
      </c>
      <c r="N59" s="113">
        <f>-S99</f>
        <v>-7926648.9814404324</v>
      </c>
      <c r="Q59" s="170">
        <v>1420747</v>
      </c>
      <c r="R59" s="169" t="s">
        <v>4389</v>
      </c>
      <c r="S59" s="169">
        <f>S58</f>
        <v>35</v>
      </c>
      <c r="T59" s="169" t="s">
        <v>4401</v>
      </c>
      <c r="U59" s="169">
        <v>203.1</v>
      </c>
      <c r="V59" s="99">
        <f>U59*(1+$N$82+$Q$15*S59/36500)</f>
        <v>210.82781589041099</v>
      </c>
      <c r="W59" s="32">
        <f t="shared" si="15"/>
        <v>215.04437220821922</v>
      </c>
      <c r="X59" s="32">
        <f t="shared" si="16"/>
        <v>219.26092852602744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7"/>
        <v>115</v>
      </c>
      <c r="AM59" s="173">
        <f t="shared" si="8"/>
        <v>-444475000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617883306.24587286</v>
      </c>
      <c r="F60" s="3"/>
      <c r="G60" s="11"/>
      <c r="H60" s="11"/>
      <c r="K60" s="169"/>
      <c r="L60" s="117"/>
      <c r="M60" s="169"/>
      <c r="N60" s="113"/>
      <c r="Q60" s="170">
        <v>2864946</v>
      </c>
      <c r="R60" s="169" t="s">
        <v>4389</v>
      </c>
      <c r="S60" s="198">
        <f>S59</f>
        <v>35</v>
      </c>
      <c r="T60" s="169" t="s">
        <v>4403</v>
      </c>
      <c r="U60" s="169">
        <v>303.60000000000002</v>
      </c>
      <c r="V60" s="99">
        <f>U60*(1+$N$82+$Q$15*S60/36500)</f>
        <v>315.15177205479461</v>
      </c>
      <c r="W60" s="32">
        <f t="shared" si="15"/>
        <v>321.45480749589052</v>
      </c>
      <c r="X60" s="32">
        <f t="shared" si="16"/>
        <v>327.75784293698638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7"/>
        <v>109</v>
      </c>
      <c r="AM60" s="113">
        <f t="shared" si="8"/>
        <v>2049200000</v>
      </c>
      <c r="AN60" s="20"/>
    </row>
    <row r="61" spans="1:40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631323586.68626177</v>
      </c>
      <c r="F61" s="3"/>
      <c r="G61" s="11"/>
      <c r="H61" s="11"/>
      <c r="K61" s="169"/>
      <c r="L61" s="117"/>
      <c r="M61" s="169"/>
      <c r="N61" s="113"/>
      <c r="Q61" s="170">
        <v>2412371</v>
      </c>
      <c r="R61" s="169" t="s">
        <v>4391</v>
      </c>
      <c r="S61" s="169">
        <f>S60-1</f>
        <v>34</v>
      </c>
      <c r="T61" s="169" t="s">
        <v>4409</v>
      </c>
      <c r="U61" s="169">
        <v>3930</v>
      </c>
      <c r="V61" s="99">
        <f>U61*(1+$N$82+$Q$15*S61/36500)</f>
        <v>4076.5190136986303</v>
      </c>
      <c r="W61" s="32">
        <f t="shared" si="15"/>
        <v>4158.049393972603</v>
      </c>
      <c r="X61" s="32">
        <f t="shared" si="16"/>
        <v>4239.5797742465757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7"/>
        <v>106</v>
      </c>
      <c r="AM61" s="113">
        <f t="shared" si="8"/>
        <v>53000000</v>
      </c>
      <c r="AN61" s="20"/>
    </row>
    <row r="62" spans="1:40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645043498.87861323</v>
      </c>
      <c r="F62" s="3"/>
      <c r="G62" s="11"/>
      <c r="H62" s="11"/>
      <c r="K62" s="169" t="s">
        <v>598</v>
      </c>
      <c r="L62" s="113">
        <f>SUM(L16:L48)</f>
        <v>265856610.21977127</v>
      </c>
      <c r="M62" s="169"/>
      <c r="N62" s="113">
        <f>SUM(N16:N58)</f>
        <v>351297770.17747277</v>
      </c>
      <c r="Q62" s="170">
        <v>2010885</v>
      </c>
      <c r="R62" s="169" t="s">
        <v>4412</v>
      </c>
      <c r="S62" s="169">
        <f>S61-2</f>
        <v>32</v>
      </c>
      <c r="T62" s="169" t="s">
        <v>4418</v>
      </c>
      <c r="U62" s="169">
        <v>202.1</v>
      </c>
      <c r="V62" s="99">
        <f>U62*(1+$N$82+$Q$15*S62/36500)</f>
        <v>209.32465972602742</v>
      </c>
      <c r="W62" s="32">
        <f t="shared" si="15"/>
        <v>213.51115292054797</v>
      </c>
      <c r="X62" s="32">
        <f t="shared" si="16"/>
        <v>217.69764611506852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105</v>
      </c>
      <c r="AM62" s="113">
        <f t="shared" si="8"/>
        <v>21000000</v>
      </c>
      <c r="AN62" s="20"/>
    </row>
    <row r="63" spans="1:40">
      <c r="E63" s="26"/>
      <c r="K63" s="169" t="s">
        <v>599</v>
      </c>
      <c r="L63" s="113">
        <f>L16+L17+L23</f>
        <v>24202</v>
      </c>
      <c r="M63" s="169"/>
      <c r="N63" s="113">
        <f>N16+N17+N34</f>
        <v>642236</v>
      </c>
      <c r="Q63" s="170">
        <v>1994038</v>
      </c>
      <c r="R63" s="169" t="s">
        <v>4423</v>
      </c>
      <c r="S63" s="169">
        <f>S62-3</f>
        <v>29</v>
      </c>
      <c r="T63" s="169" t="s">
        <v>4442</v>
      </c>
      <c r="U63" s="169">
        <v>5560.3</v>
      </c>
      <c r="V63" s="99">
        <f>U63*(1+$N$82+$Q$15*S63/36500)</f>
        <v>5746.2729928767121</v>
      </c>
      <c r="W63" s="32">
        <f t="shared" si="15"/>
        <v>5861.1984527342465</v>
      </c>
      <c r="X63" s="32">
        <f t="shared" si="16"/>
        <v>5976.1239125917809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7"/>
        <v>102</v>
      </c>
      <c r="AM63" s="113">
        <f t="shared" si="8"/>
        <v>102000000</v>
      </c>
      <c r="AN63" s="20"/>
    </row>
    <row r="64" spans="1:40">
      <c r="E64" s="26"/>
      <c r="K64" s="56" t="s">
        <v>716</v>
      </c>
      <c r="L64" s="1">
        <f>L62+N7</f>
        <v>335856610.21977127</v>
      </c>
      <c r="M64" s="113"/>
      <c r="N64" s="169"/>
      <c r="O64" s="115"/>
      <c r="P64" s="115"/>
      <c r="Q64" s="170">
        <v>4629290</v>
      </c>
      <c r="R64" s="169" t="s">
        <v>4423</v>
      </c>
      <c r="S64" s="198">
        <f>S63</f>
        <v>29</v>
      </c>
      <c r="T64" s="169" t="s">
        <v>4431</v>
      </c>
      <c r="U64" s="169">
        <v>441.8</v>
      </c>
      <c r="V64" s="99">
        <f>U64*(1+$N$82+$Q$15*S64/36500)</f>
        <v>456.57669698630139</v>
      </c>
      <c r="W64" s="32">
        <f t="shared" si="15"/>
        <v>465.7082309260274</v>
      </c>
      <c r="X64" s="32">
        <f t="shared" si="16"/>
        <v>474.83976486575347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99</v>
      </c>
      <c r="AM64" s="113">
        <f t="shared" si="8"/>
        <v>128700000</v>
      </c>
      <c r="AN64" s="20"/>
    </row>
    <row r="65" spans="1:40">
      <c r="O65" s="96"/>
      <c r="P65" s="96"/>
      <c r="Q65" s="170">
        <v>4489908</v>
      </c>
      <c r="R65" s="169" t="s">
        <v>4423</v>
      </c>
      <c r="S65" s="169">
        <f>S64</f>
        <v>29</v>
      </c>
      <c r="T65" s="169" t="s">
        <v>4429</v>
      </c>
      <c r="U65" s="169">
        <v>292.60000000000002</v>
      </c>
      <c r="V65" s="99">
        <f>U65*(1+$N$82+$Q$15*S65/36500)</f>
        <v>302.38646794520548</v>
      </c>
      <c r="W65" s="32">
        <f t="shared" si="15"/>
        <v>308.4341973041096</v>
      </c>
      <c r="X65" s="32">
        <f t="shared" si="16"/>
        <v>314.48192666301372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101" si="17">AL66+AK65</f>
        <v>99</v>
      </c>
      <c r="AM65" s="113">
        <f t="shared" si="8"/>
        <v>98505000</v>
      </c>
      <c r="AN65" s="20"/>
    </row>
    <row r="66" spans="1:40">
      <c r="M66" s="25"/>
      <c r="O66" t="s">
        <v>25</v>
      </c>
      <c r="Q66" s="170">
        <v>1971103</v>
      </c>
      <c r="R66" s="169" t="s">
        <v>4437</v>
      </c>
      <c r="S66" s="169">
        <f>S65-1</f>
        <v>28</v>
      </c>
      <c r="T66" s="169" t="s">
        <v>4438</v>
      </c>
      <c r="U66" s="169">
        <v>196.2</v>
      </c>
      <c r="V66" s="99">
        <f>U66*(1+$N$82+$Q$15*S66/36500)</f>
        <v>202.6117084931507</v>
      </c>
      <c r="W66" s="32">
        <f t="shared" si="15"/>
        <v>206.66394266301373</v>
      </c>
      <c r="X66" s="32">
        <f t="shared" si="16"/>
        <v>210.71617683287673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97</v>
      </c>
      <c r="AM66" s="113">
        <f t="shared" si="8"/>
        <v>1261000000</v>
      </c>
      <c r="AN66" s="20"/>
    </row>
    <row r="67" spans="1:40">
      <c r="A67" t="s">
        <v>25</v>
      </c>
      <c r="F67" t="s">
        <v>310</v>
      </c>
      <c r="G67" t="s">
        <v>4102</v>
      </c>
      <c r="M67" s="25" t="s">
        <v>4083</v>
      </c>
      <c r="P67" t="s">
        <v>25</v>
      </c>
      <c r="Q67" s="170">
        <v>1049856</v>
      </c>
      <c r="R67" s="169" t="s">
        <v>4460</v>
      </c>
      <c r="S67" s="204">
        <f>S66-6</f>
        <v>22</v>
      </c>
      <c r="T67" s="169" t="s">
        <v>4511</v>
      </c>
      <c r="U67" s="169">
        <v>184.5</v>
      </c>
      <c r="V67" s="99">
        <f>U67*(1+$N$82+$Q$15*S67/36500)</f>
        <v>189.68015342465756</v>
      </c>
      <c r="W67" s="32">
        <f t="shared" si="15"/>
        <v>193.47375649315072</v>
      </c>
      <c r="X67" s="32">
        <f t="shared" si="16"/>
        <v>197.26735956164387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95</v>
      </c>
      <c r="AM67" s="113">
        <f t="shared" si="8"/>
        <v>-294500000</v>
      </c>
      <c r="AN67" s="20"/>
    </row>
    <row r="68" spans="1:40">
      <c r="F68" t="s">
        <v>4106</v>
      </c>
      <c r="G68" t="s">
        <v>4101</v>
      </c>
      <c r="M68" s="178"/>
      <c r="O68" s="22"/>
      <c r="Q68" s="170">
        <v>1783234</v>
      </c>
      <c r="R68" s="169" t="s">
        <v>4463</v>
      </c>
      <c r="S68" s="169">
        <f>S67-2</f>
        <v>20</v>
      </c>
      <c r="T68" s="169" t="s">
        <v>4469</v>
      </c>
      <c r="U68" s="169">
        <v>177.5</v>
      </c>
      <c r="V68" s="99">
        <f>U68*(1+$N$82+$Q$15*S68/36500)</f>
        <v>182.2112876712329</v>
      </c>
      <c r="W68" s="32">
        <f t="shared" si="15"/>
        <v>185.85551342465754</v>
      </c>
      <c r="X68" s="32">
        <f t="shared" si="16"/>
        <v>189.49973917808222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92</v>
      </c>
      <c r="AM68" s="113">
        <f t="shared" si="8"/>
        <v>4198880000</v>
      </c>
      <c r="AN68" s="20"/>
    </row>
    <row r="69" spans="1:40">
      <c r="F69" t="s">
        <v>4107</v>
      </c>
      <c r="G69" t="s">
        <v>4103</v>
      </c>
      <c r="M69" s="122"/>
      <c r="O69" t="s">
        <v>25</v>
      </c>
      <c r="P69" t="s">
        <v>25</v>
      </c>
      <c r="Q69" s="170">
        <v>1904396</v>
      </c>
      <c r="R69" s="169" t="s">
        <v>4463</v>
      </c>
      <c r="S69" s="203">
        <f>S68</f>
        <v>20</v>
      </c>
      <c r="T69" s="169" t="s">
        <v>4474</v>
      </c>
      <c r="U69" s="169">
        <v>4861</v>
      </c>
      <c r="V69" s="99">
        <f>U69*(1+$N$82+$Q$15*S69/36500)</f>
        <v>4990.0229260273982</v>
      </c>
      <c r="W69" s="32">
        <f t="shared" si="15"/>
        <v>5089.8233845479463</v>
      </c>
      <c r="X69" s="32">
        <f t="shared" si="16"/>
        <v>5189.6238430684944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91</v>
      </c>
      <c r="AM69" s="113">
        <f t="shared" si="8"/>
        <v>3048500000</v>
      </c>
      <c r="AN69" s="20"/>
    </row>
    <row r="70" spans="1:40">
      <c r="G70" t="s">
        <v>4104</v>
      </c>
      <c r="M70" s="122" t="s">
        <v>4432</v>
      </c>
      <c r="O70" s="114"/>
      <c r="Q70" s="170">
        <v>145929</v>
      </c>
      <c r="R70" s="169" t="s">
        <v>4463</v>
      </c>
      <c r="S70" s="203">
        <f>S69</f>
        <v>20</v>
      </c>
      <c r="T70" s="169" t="s">
        <v>4467</v>
      </c>
      <c r="U70" s="169">
        <v>365</v>
      </c>
      <c r="V70" s="99">
        <f>U70*(1+$N$82+$Q$15*S70/36500)</f>
        <v>374.68800000000005</v>
      </c>
      <c r="W70" s="32">
        <f t="shared" si="15"/>
        <v>382.18176000000005</v>
      </c>
      <c r="X70" s="32">
        <f t="shared" si="16"/>
        <v>389.67552000000006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90</v>
      </c>
      <c r="AM70" s="117">
        <f t="shared" si="8"/>
        <v>1080000000</v>
      </c>
      <c r="AN70" s="20"/>
    </row>
    <row r="71" spans="1:40">
      <c r="G71" t="s">
        <v>4105</v>
      </c>
      <c r="M71" s="122" t="s">
        <v>4559</v>
      </c>
      <c r="N71" s="96"/>
      <c r="Q71" s="170">
        <v>1826179</v>
      </c>
      <c r="R71" s="169" t="s">
        <v>4472</v>
      </c>
      <c r="S71" s="203">
        <f>S70-5</f>
        <v>15</v>
      </c>
      <c r="T71" s="73" t="s">
        <v>4520</v>
      </c>
      <c r="U71" s="169">
        <v>190.3</v>
      </c>
      <c r="V71" s="99">
        <f>U71*(1+$N$82+$Q$15*S71/36500)</f>
        <v>194.62111342465758</v>
      </c>
      <c r="W71" s="32">
        <f t="shared" si="15"/>
        <v>198.51353569315074</v>
      </c>
      <c r="X71" s="32">
        <f t="shared" si="16"/>
        <v>202.40595796164388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89</v>
      </c>
      <c r="AM71" s="117">
        <f t="shared" si="8"/>
        <v>1379500000</v>
      </c>
      <c r="AN71" s="20"/>
    </row>
    <row r="72" spans="1:40">
      <c r="G72" t="s">
        <v>4109</v>
      </c>
      <c r="M72" s="122" t="s">
        <v>4538</v>
      </c>
      <c r="N72" s="96"/>
      <c r="P72" t="s">
        <v>25</v>
      </c>
      <c r="Q72" s="170">
        <v>1049976</v>
      </c>
      <c r="R72" s="169" t="s">
        <v>4472</v>
      </c>
      <c r="S72" s="203">
        <f>S71</f>
        <v>15</v>
      </c>
      <c r="T72" s="73" t="s">
        <v>4529</v>
      </c>
      <c r="U72" s="169">
        <v>190.3</v>
      </c>
      <c r="V72" s="99">
        <f>U72*(1+$N$82+$Q$15*S72/36500)</f>
        <v>194.62111342465758</v>
      </c>
      <c r="W72" s="32">
        <f t="shared" si="15"/>
        <v>198.51353569315074</v>
      </c>
      <c r="X72" s="32">
        <f t="shared" si="16"/>
        <v>202.40595796164388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85</v>
      </c>
      <c r="AM72" s="117">
        <f t="shared" si="8"/>
        <v>12750000</v>
      </c>
      <c r="AN72" s="20"/>
    </row>
    <row r="73" spans="1:40">
      <c r="G73" t="s">
        <v>4108</v>
      </c>
      <c r="M73" s="122" t="s">
        <v>4540</v>
      </c>
      <c r="N73" s="96"/>
      <c r="P73" s="115"/>
      <c r="Q73" s="170">
        <v>3969956</v>
      </c>
      <c r="R73" s="169" t="s">
        <v>4530</v>
      </c>
      <c r="S73" s="169">
        <f>S72-2</f>
        <v>13</v>
      </c>
      <c r="T73" s="73" t="s">
        <v>4531</v>
      </c>
      <c r="U73" s="169">
        <v>396500</v>
      </c>
      <c r="V73" s="99">
        <f>U73*(1+$N$82+$Q$15*S73/36500)</f>
        <v>404894.93698630139</v>
      </c>
      <c r="W73" s="32">
        <f t="shared" si="15"/>
        <v>412992.83572602744</v>
      </c>
      <c r="X73" s="32">
        <f t="shared" si="16"/>
        <v>421090.73446575343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84</v>
      </c>
      <c r="AM73" s="182">
        <f t="shared" si="8"/>
        <v>2436000000</v>
      </c>
      <c r="AN73" s="181" t="s">
        <v>4189</v>
      </c>
    </row>
    <row r="74" spans="1:40">
      <c r="M74" s="122" t="s">
        <v>4558</v>
      </c>
      <c r="N74" s="96"/>
      <c r="P74" s="115" t="s">
        <v>25</v>
      </c>
      <c r="Q74" s="170">
        <v>3894862</v>
      </c>
      <c r="R74" s="169" t="s">
        <v>4539</v>
      </c>
      <c r="S74" s="169">
        <f>S73-2</f>
        <v>11</v>
      </c>
      <c r="T74" s="73" t="s">
        <v>4546</v>
      </c>
      <c r="U74" s="169">
        <v>389000</v>
      </c>
      <c r="V74" s="99">
        <f>U74*(1+$N$82+$Q$15*S74/36500)</f>
        <v>396639.32054794522</v>
      </c>
      <c r="W74" s="32">
        <f t="shared" si="15"/>
        <v>404572.10695890413</v>
      </c>
      <c r="X74" s="32">
        <f t="shared" si="16"/>
        <v>412504.89336986304</v>
      </c>
      <c r="Y74" t="s">
        <v>25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69</v>
      </c>
      <c r="AM74" s="117">
        <f t="shared" si="8"/>
        <v>-8970000</v>
      </c>
      <c r="AN74" s="20" t="s">
        <v>4215</v>
      </c>
    </row>
    <row r="75" spans="1:40" ht="30">
      <c r="M75" s="122" t="s">
        <v>4575</v>
      </c>
      <c r="O75" t="s">
        <v>25</v>
      </c>
      <c r="P75" s="115"/>
      <c r="Q75" s="170">
        <v>5881743</v>
      </c>
      <c r="R75" s="169" t="s">
        <v>4545</v>
      </c>
      <c r="S75" s="169">
        <f>S74-3</f>
        <v>8</v>
      </c>
      <c r="T75" s="73" t="s">
        <v>4573</v>
      </c>
      <c r="U75" s="169">
        <v>172.2</v>
      </c>
      <c r="V75" s="99">
        <f>U75*(1+$N$82+$Q$15*S75/36500)</f>
        <v>175.18542904109589</v>
      </c>
      <c r="W75" s="32">
        <f t="shared" si="15"/>
        <v>178.68913762191781</v>
      </c>
      <c r="X75" s="32">
        <f t="shared" si="16"/>
        <v>182.19284620273973</v>
      </c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62</v>
      </c>
      <c r="AM75" s="117">
        <f>AJ75*AL75</f>
        <v>14384000</v>
      </c>
      <c r="AN75" s="20" t="s">
        <v>4270</v>
      </c>
    </row>
    <row r="76" spans="1:40">
      <c r="D76" s="3"/>
      <c r="E76" s="11" t="s">
        <v>304</v>
      </c>
      <c r="M76" s="96">
        <f>O44+O45+O21+O28-O56</f>
        <v>1118353</v>
      </c>
      <c r="N76" s="113">
        <f>M76*P44</f>
        <v>191238363</v>
      </c>
      <c r="P76" s="115"/>
      <c r="Q76" s="170">
        <v>4025024</v>
      </c>
      <c r="R76" s="169" t="s">
        <v>4545</v>
      </c>
      <c r="S76" s="169">
        <f>S75</f>
        <v>8</v>
      </c>
      <c r="T76" s="73" t="s">
        <v>4550</v>
      </c>
      <c r="U76" s="169">
        <v>402000</v>
      </c>
      <c r="V76" s="99">
        <f>U76*(1+$N$82+$Q$15*S76/36500)</f>
        <v>408969.46849315072</v>
      </c>
      <c r="W76" s="32">
        <f t="shared" si="15"/>
        <v>417148.85786301375</v>
      </c>
      <c r="X76" s="32">
        <f t="shared" si="16"/>
        <v>425328.24723287678</v>
      </c>
      <c r="AH76" s="20">
        <v>56</v>
      </c>
      <c r="AI76" s="117" t="s">
        <v>4280</v>
      </c>
      <c r="AJ76" s="117">
        <v>-170000</v>
      </c>
      <c r="AK76" s="20">
        <v>3</v>
      </c>
      <c r="AL76" s="99">
        <f t="shared" si="17"/>
        <v>60</v>
      </c>
      <c r="AM76" s="117">
        <f t="shared" si="8"/>
        <v>-10200000</v>
      </c>
      <c r="AN76" s="20"/>
    </row>
    <row r="77" spans="1:40">
      <c r="D77" s="1" t="s">
        <v>305</v>
      </c>
      <c r="E77" s="1">
        <v>70000</v>
      </c>
      <c r="M77" t="s">
        <v>4278</v>
      </c>
      <c r="N77" t="s">
        <v>4275</v>
      </c>
      <c r="P77" s="115"/>
      <c r="Q77" s="170">
        <v>3919893</v>
      </c>
      <c r="R77" s="169" t="s">
        <v>4548</v>
      </c>
      <c r="S77" s="169">
        <f>S76-1</f>
        <v>7</v>
      </c>
      <c r="T77" s="73" t="s">
        <v>4549</v>
      </c>
      <c r="U77" s="169">
        <v>391500</v>
      </c>
      <c r="V77" s="99">
        <f>U77*(1+$N$82+$Q$15*S77/36500)</f>
        <v>397987.10136986308</v>
      </c>
      <c r="W77" s="32">
        <f t="shared" si="15"/>
        <v>405946.84339726035</v>
      </c>
      <c r="X77" s="32">
        <f t="shared" si="16"/>
        <v>413906.58542465762</v>
      </c>
      <c r="AH77" s="20">
        <v>57</v>
      </c>
      <c r="AI77" s="117" t="s">
        <v>4294</v>
      </c>
      <c r="AJ77" s="117">
        <v>-300000</v>
      </c>
      <c r="AK77" s="20">
        <v>3</v>
      </c>
      <c r="AL77" s="99">
        <f t="shared" si="17"/>
        <v>57</v>
      </c>
      <c r="AM77" s="117">
        <f t="shared" si="8"/>
        <v>-17100000</v>
      </c>
      <c r="AN77" s="20"/>
    </row>
    <row r="78" spans="1:40">
      <c r="D78" s="1" t="s">
        <v>321</v>
      </c>
      <c r="E78" s="1">
        <v>100000</v>
      </c>
      <c r="N78" t="s">
        <v>25</v>
      </c>
      <c r="P78" s="115"/>
      <c r="Q78" s="170">
        <v>3825777</v>
      </c>
      <c r="R78" s="169" t="s">
        <v>4554</v>
      </c>
      <c r="S78" s="169">
        <f>S77-1</f>
        <v>6</v>
      </c>
      <c r="T78" s="73" t="s">
        <v>4557</v>
      </c>
      <c r="U78" s="169">
        <v>382100</v>
      </c>
      <c r="V78" s="99">
        <f>U78*(1+$N$82+$Q$15*S78/36500)</f>
        <v>388138.22684931505</v>
      </c>
      <c r="W78" s="32">
        <f t="shared" si="15"/>
        <v>395900.99138630135</v>
      </c>
      <c r="X78" s="32">
        <f t="shared" si="16"/>
        <v>403663.75592328765</v>
      </c>
      <c r="AD78" s="115"/>
      <c r="AE78" s="115"/>
      <c r="AH78" s="20">
        <v>58</v>
      </c>
      <c r="AI78" s="117" t="s">
        <v>4303</v>
      </c>
      <c r="AJ78" s="117">
        <v>-11400000</v>
      </c>
      <c r="AK78" s="20">
        <v>13</v>
      </c>
      <c r="AL78" s="99">
        <f>AL79+AK78</f>
        <v>54</v>
      </c>
      <c r="AM78" s="117">
        <f t="shared" si="8"/>
        <v>-615600000</v>
      </c>
      <c r="AN78" s="20"/>
    </row>
    <row r="79" spans="1:40">
      <c r="D79" s="1" t="s">
        <v>306</v>
      </c>
      <c r="E79" s="1">
        <v>80000</v>
      </c>
      <c r="P79" s="115"/>
      <c r="Q79" s="170">
        <v>773238</v>
      </c>
      <c r="R79" s="169" t="s">
        <v>4236</v>
      </c>
      <c r="S79" s="169">
        <f>S78-1</f>
        <v>5</v>
      </c>
      <c r="T79" s="73" t="s">
        <v>4563</v>
      </c>
      <c r="U79" s="169">
        <v>2850</v>
      </c>
      <c r="V79" s="99">
        <f>U79*(1+$N$82+$Q$15*S79/36500)</f>
        <v>2892.8515068493152</v>
      </c>
      <c r="W79" s="32">
        <f t="shared" si="15"/>
        <v>2950.7085369863016</v>
      </c>
      <c r="X79" s="32">
        <f t="shared" si="16"/>
        <v>3008.565567123288</v>
      </c>
      <c r="AC79" s="115"/>
      <c r="AD79" s="115"/>
      <c r="AE79" s="115"/>
      <c r="AF79"/>
      <c r="AH79" s="20">
        <v>59</v>
      </c>
      <c r="AI79" s="117" t="s">
        <v>4364</v>
      </c>
      <c r="AJ79" s="117">
        <v>-10000000</v>
      </c>
      <c r="AK79" s="20">
        <v>1</v>
      </c>
      <c r="AL79" s="99">
        <f>AL80+AK79</f>
        <v>41</v>
      </c>
      <c r="AM79" s="117">
        <f>AJ79*AL79</f>
        <v>-410000000</v>
      </c>
      <c r="AN79" s="20"/>
    </row>
    <row r="80" spans="1:40">
      <c r="D80" s="31" t="s">
        <v>307</v>
      </c>
      <c r="E80" s="1">
        <v>150000</v>
      </c>
      <c r="J80" t="s">
        <v>25</v>
      </c>
      <c r="M80" t="s">
        <v>949</v>
      </c>
      <c r="N80">
        <v>6.3E-3</v>
      </c>
      <c r="P80" s="115"/>
      <c r="Q80" s="170">
        <v>24997</v>
      </c>
      <c r="R80" s="169" t="s">
        <v>4565</v>
      </c>
      <c r="S80" s="169">
        <f>S79-1</f>
        <v>4</v>
      </c>
      <c r="T80" s="73" t="s">
        <v>4572</v>
      </c>
      <c r="U80" s="169">
        <v>315</v>
      </c>
      <c r="V80" s="99">
        <f>U80*(1+$N$82+$Q$15*S80/36500)</f>
        <v>319.49457534246579</v>
      </c>
      <c r="W80" s="32">
        <f t="shared" si="15"/>
        <v>325.88446684931512</v>
      </c>
      <c r="X80" s="32">
        <f t="shared" si="16"/>
        <v>332.27435835616444</v>
      </c>
      <c r="AC80" s="115"/>
      <c r="AD80" s="115"/>
      <c r="AE80" s="115"/>
      <c r="AF80"/>
      <c r="AH80" s="20">
        <v>60</v>
      </c>
      <c r="AI80" s="117" t="s">
        <v>4365</v>
      </c>
      <c r="AJ80" s="117">
        <v>-2450000</v>
      </c>
      <c r="AK80" s="20">
        <v>5</v>
      </c>
      <c r="AL80" s="99">
        <f>AL81+AK80</f>
        <v>40</v>
      </c>
      <c r="AM80" s="117">
        <f>AJ80*AL80</f>
        <v>-98000000</v>
      </c>
      <c r="AN80" s="20"/>
    </row>
    <row r="81" spans="4:52">
      <c r="D81" s="31" t="s">
        <v>308</v>
      </c>
      <c r="E81" s="1">
        <v>300000</v>
      </c>
      <c r="M81" t="s">
        <v>61</v>
      </c>
      <c r="N81">
        <v>4.8999999999999998E-3</v>
      </c>
      <c r="P81" s="115"/>
      <c r="Q81" s="170">
        <v>674112</v>
      </c>
      <c r="R81" s="169" t="s">
        <v>4576</v>
      </c>
      <c r="S81" s="169">
        <f>S80-3</f>
        <v>1</v>
      </c>
      <c r="T81" s="73" t="s">
        <v>4578</v>
      </c>
      <c r="U81" s="169">
        <v>167.8</v>
      </c>
      <c r="V81" s="99">
        <f>U81*(1+$N$82+$Q$15*S81/36500)</f>
        <v>169.80808328767125</v>
      </c>
      <c r="W81" s="32">
        <f t="shared" si="15"/>
        <v>173.20424495342468</v>
      </c>
      <c r="X81" s="32">
        <f t="shared" si="16"/>
        <v>176.6004066191781</v>
      </c>
      <c r="AD81" s="115"/>
      <c r="AE81" s="115"/>
      <c r="AF81" s="115"/>
      <c r="AH81" s="20">
        <v>61</v>
      </c>
      <c r="AI81" s="117" t="s">
        <v>4389</v>
      </c>
      <c r="AJ81" s="117">
        <v>-456081</v>
      </c>
      <c r="AK81" s="20">
        <v>1</v>
      </c>
      <c r="AL81" s="99">
        <f t="shared" si="17"/>
        <v>35</v>
      </c>
      <c r="AM81" s="117">
        <f t="shared" si="8"/>
        <v>-15962835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7" t="s">
        <v>476</v>
      </c>
      <c r="M82" t="s">
        <v>6</v>
      </c>
      <c r="N82">
        <f>N80+N81</f>
        <v>1.12E-2</v>
      </c>
      <c r="O82" t="s">
        <v>25</v>
      </c>
      <c r="P82" t="s">
        <v>25</v>
      </c>
      <c r="Q82" s="170">
        <v>3614512</v>
      </c>
      <c r="R82" s="169" t="s">
        <v>4576</v>
      </c>
      <c r="S82" s="169">
        <f>S81</f>
        <v>1</v>
      </c>
      <c r="T82" s="73" t="s">
        <v>4579</v>
      </c>
      <c r="U82" s="169">
        <v>361000</v>
      </c>
      <c r="V82" s="99">
        <f>U82*(1+$N$82+$Q$15*S82/36500)</f>
        <v>365320.13150684931</v>
      </c>
      <c r="W82" s="32">
        <f t="shared" si="15"/>
        <v>372626.5341369863</v>
      </c>
      <c r="X82" s="32">
        <f t="shared" si="16"/>
        <v>379932.93676712329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4391</v>
      </c>
      <c r="AJ82" s="117">
        <v>-500000</v>
      </c>
      <c r="AK82" s="20">
        <v>2</v>
      </c>
      <c r="AL82" s="99">
        <f>AL83+AK82</f>
        <v>34</v>
      </c>
      <c r="AM82" s="117">
        <f t="shared" si="8"/>
        <v>-17000000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7" t="s">
        <v>1039</v>
      </c>
      <c r="Q83" s="170">
        <v>105046</v>
      </c>
      <c r="R83" s="169" t="s">
        <v>4582</v>
      </c>
      <c r="S83" s="169">
        <f>S82-1</f>
        <v>0</v>
      </c>
      <c r="T83" s="73" t="s">
        <v>4585</v>
      </c>
      <c r="U83" s="169">
        <v>167</v>
      </c>
      <c r="V83" s="99">
        <f>U83*(1+$N$82+$Q$15*S83/36500)</f>
        <v>168.87040000000002</v>
      </c>
      <c r="W83" s="32">
        <f t="shared" ref="W83" si="18">V83*(1+$W$19/100)</f>
        <v>172.24780800000002</v>
      </c>
      <c r="X83" s="32">
        <f t="shared" ref="X83" si="19">V83*(1+$X$19/100)</f>
        <v>175.62521600000002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4412</v>
      </c>
      <c r="AJ83" s="117">
        <v>-6234370</v>
      </c>
      <c r="AK83" s="20">
        <v>3</v>
      </c>
      <c r="AL83" s="99">
        <f t="shared" si="17"/>
        <v>32</v>
      </c>
      <c r="AM83" s="117">
        <f t="shared" si="8"/>
        <v>-199499840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7" t="s">
        <v>479</v>
      </c>
      <c r="Q84" s="170"/>
      <c r="R84" s="169"/>
      <c r="S84" s="169"/>
      <c r="T84" s="73"/>
      <c r="U84" s="169"/>
      <c r="V84" s="99"/>
      <c r="W84" s="32"/>
      <c r="X84" s="32"/>
      <c r="Y84" s="128"/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4423</v>
      </c>
      <c r="AJ84" s="117">
        <v>1950957</v>
      </c>
      <c r="AK84" s="20">
        <v>4</v>
      </c>
      <c r="AL84" s="99">
        <f t="shared" si="17"/>
        <v>29</v>
      </c>
      <c r="AM84" s="117">
        <f t="shared" si="8"/>
        <v>56577753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7" t="s">
        <v>558</v>
      </c>
      <c r="Q85" s="170"/>
      <c r="R85" s="169"/>
      <c r="S85" s="169"/>
      <c r="T85" s="169"/>
      <c r="U85" s="169"/>
      <c r="V85" s="99" t="s">
        <v>25</v>
      </c>
      <c r="W85" s="32"/>
      <c r="X85" s="32"/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4452</v>
      </c>
      <c r="AJ85" s="117">
        <v>600000</v>
      </c>
      <c r="AK85" s="20">
        <v>5</v>
      </c>
      <c r="AL85" s="99">
        <f t="shared" si="17"/>
        <v>25</v>
      </c>
      <c r="AM85" s="117">
        <f t="shared" si="8"/>
        <v>15000000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7" t="s">
        <v>784</v>
      </c>
      <c r="M86" s="199"/>
      <c r="P86" t="s">
        <v>25</v>
      </c>
      <c r="Q86" s="113">
        <f>SUM(N43:N52)-SUM(Q53:Q85)</f>
        <v>-26817617.799999982</v>
      </c>
      <c r="R86" s="112"/>
      <c r="S86" s="112"/>
      <c r="T86" s="112"/>
      <c r="U86" s="169"/>
      <c r="V86" s="99" t="s">
        <v>25</v>
      </c>
      <c r="W86" s="32"/>
      <c r="X86" s="32"/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4463</v>
      </c>
      <c r="AJ86" s="117">
        <v>7500000</v>
      </c>
      <c r="AK86" s="20">
        <v>2</v>
      </c>
      <c r="AL86" s="99">
        <f t="shared" si="17"/>
        <v>20</v>
      </c>
      <c r="AM86" s="117">
        <f t="shared" si="8"/>
        <v>150000000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7" t="s">
        <v>785</v>
      </c>
      <c r="Q87" s="26"/>
      <c r="R87" s="185"/>
      <c r="S87" s="185"/>
      <c r="T87" t="s">
        <v>25</v>
      </c>
      <c r="U87" s="96" t="s">
        <v>25</v>
      </c>
      <c r="V87" s="96" t="s">
        <v>25</v>
      </c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4473</v>
      </c>
      <c r="AJ87" s="117">
        <v>-587816</v>
      </c>
      <c r="AK87" s="20">
        <v>3</v>
      </c>
      <c r="AL87" s="99">
        <f t="shared" si="17"/>
        <v>18</v>
      </c>
      <c r="AM87" s="117">
        <f t="shared" si="8"/>
        <v>-10580688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R88" t="s">
        <v>25</v>
      </c>
      <c r="T88" t="s">
        <v>25</v>
      </c>
      <c r="U88" s="96" t="s">
        <v>25</v>
      </c>
      <c r="V88" s="96" t="s">
        <v>25</v>
      </c>
      <c r="W88" s="96" t="s">
        <v>25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4472</v>
      </c>
      <c r="AJ88" s="117">
        <v>-907489</v>
      </c>
      <c r="AK88" s="20">
        <v>0</v>
      </c>
      <c r="AL88" s="99">
        <f>AL89+AK88</f>
        <v>15</v>
      </c>
      <c r="AM88" s="117">
        <f t="shared" si="8"/>
        <v>-13612335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Q89" t="s">
        <v>25</v>
      </c>
      <c r="R89" t="s">
        <v>25</v>
      </c>
      <c r="T89" t="s">
        <v>25</v>
      </c>
      <c r="U89" s="96" t="s">
        <v>25</v>
      </c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4472</v>
      </c>
      <c r="AJ89" s="117">
        <v>2450000</v>
      </c>
      <c r="AK89" s="20">
        <v>1</v>
      </c>
      <c r="AL89" s="99">
        <f t="shared" si="17"/>
        <v>15</v>
      </c>
      <c r="AM89" s="117">
        <f t="shared" si="8"/>
        <v>36750000</v>
      </c>
      <c r="AN89" s="20" t="s">
        <v>4517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L90" s="99"/>
      <c r="M90" s="208" t="s">
        <v>4457</v>
      </c>
      <c r="N90" s="169" t="s">
        <v>4311</v>
      </c>
      <c r="O90" s="169" t="s">
        <v>180</v>
      </c>
      <c r="Q90" t="s">
        <v>25</v>
      </c>
      <c r="S90" t="s">
        <v>25</v>
      </c>
      <c r="T90" t="s">
        <v>25</v>
      </c>
      <c r="U90" s="96" t="s">
        <v>25</v>
      </c>
      <c r="W90" s="96" t="s">
        <v>25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4521</v>
      </c>
      <c r="AJ90" s="117">
        <v>1500000</v>
      </c>
      <c r="AK90" s="20">
        <v>1</v>
      </c>
      <c r="AL90" s="99">
        <f t="shared" si="17"/>
        <v>14</v>
      </c>
      <c r="AM90" s="117">
        <f t="shared" si="8"/>
        <v>21000000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L91" s="99" t="s">
        <v>4247</v>
      </c>
      <c r="M91" s="209">
        <v>1706</v>
      </c>
      <c r="N91" s="170">
        <v>1763</v>
      </c>
      <c r="O91" s="99" t="s">
        <v>4545</v>
      </c>
      <c r="V91" s="96"/>
      <c r="W91"/>
      <c r="Y91" s="115"/>
      <c r="Z91" s="115"/>
      <c r="AA91" s="115"/>
      <c r="AE91"/>
      <c r="AG91" s="96"/>
      <c r="AH91" s="20">
        <v>71</v>
      </c>
      <c r="AI91" s="117" t="s">
        <v>4530</v>
      </c>
      <c r="AJ91" s="117">
        <v>2648000</v>
      </c>
      <c r="AK91" s="20">
        <v>1</v>
      </c>
      <c r="AL91" s="99">
        <f t="shared" si="17"/>
        <v>13</v>
      </c>
      <c r="AM91" s="117">
        <f t="shared" si="8"/>
        <v>34424000</v>
      </c>
      <c r="AN91" s="20" t="s">
        <v>4532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L92" s="99" t="s">
        <v>1086</v>
      </c>
      <c r="M92" s="209">
        <v>3721000</v>
      </c>
      <c r="N92" s="170">
        <v>3921000</v>
      </c>
      <c r="O92" s="99" t="s">
        <v>4545</v>
      </c>
      <c r="V92" s="96"/>
      <c r="W92"/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4</v>
      </c>
      <c r="AL92" s="99">
        <f t="shared" si="17"/>
        <v>12</v>
      </c>
      <c r="AM92" s="117">
        <f t="shared" si="8"/>
        <v>7380000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L93" s="99"/>
      <c r="M93" s="209"/>
      <c r="N93" s="170"/>
      <c r="O93" s="99"/>
      <c r="Q93" s="99" t="s">
        <v>4497</v>
      </c>
      <c r="R93" s="99" t="s">
        <v>4499</v>
      </c>
      <c r="S93" s="99"/>
      <c r="T93" s="99" t="s">
        <v>4500</v>
      </c>
      <c r="U93" s="99"/>
      <c r="V93" s="99"/>
      <c r="Y93" s="115"/>
      <c r="Z93" s="115"/>
      <c r="AA93" s="115"/>
      <c r="AE93"/>
      <c r="AG93" s="96"/>
      <c r="AH93" s="20">
        <v>73</v>
      </c>
      <c r="AI93" s="117" t="s">
        <v>4545</v>
      </c>
      <c r="AJ93" s="117">
        <v>14000000</v>
      </c>
      <c r="AK93" s="20">
        <v>2</v>
      </c>
      <c r="AL93" s="99">
        <f>AL94+AK93</f>
        <v>8</v>
      </c>
      <c r="AM93" s="117">
        <f t="shared" si="8"/>
        <v>112000000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L94" s="99"/>
      <c r="M94" s="209"/>
      <c r="N94" s="170"/>
      <c r="O94" s="99"/>
      <c r="P94" s="115"/>
      <c r="Q94" s="113">
        <v>1000</v>
      </c>
      <c r="R94" s="99">
        <v>0.25</v>
      </c>
      <c r="S94" s="99"/>
      <c r="T94" s="99">
        <f>1-R94</f>
        <v>0.75</v>
      </c>
      <c r="U94" s="99"/>
      <c r="V94" s="99"/>
      <c r="AH94" s="20">
        <v>74</v>
      </c>
      <c r="AI94" s="117" t="s">
        <v>4554</v>
      </c>
      <c r="AJ94" s="117">
        <v>1313000</v>
      </c>
      <c r="AK94" s="20">
        <v>0</v>
      </c>
      <c r="AL94" s="99">
        <f>AL95+AK94</f>
        <v>6</v>
      </c>
      <c r="AM94" s="117">
        <f t="shared" si="8"/>
        <v>7878000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L95" s="99"/>
      <c r="M95" s="209"/>
      <c r="N95" s="170"/>
      <c r="O95" s="99"/>
      <c r="P95" s="128"/>
      <c r="Q95" s="169" t="s">
        <v>4483</v>
      </c>
      <c r="R95" s="169" t="s">
        <v>4502</v>
      </c>
      <c r="S95" s="169" t="s">
        <v>4504</v>
      </c>
      <c r="T95" s="169" t="s">
        <v>180</v>
      </c>
      <c r="U95" s="169" t="s">
        <v>4498</v>
      </c>
      <c r="V95" s="56" t="s">
        <v>4501</v>
      </c>
      <c r="X95" s="115"/>
      <c r="AH95" s="99">
        <v>75</v>
      </c>
      <c r="AI95" s="113" t="s">
        <v>4554</v>
      </c>
      <c r="AJ95" s="113">
        <v>2269000</v>
      </c>
      <c r="AK95" s="99">
        <v>1</v>
      </c>
      <c r="AL95" s="99">
        <f t="shared" ref="AL95:AL100" si="20">AL96+AK95</f>
        <v>6</v>
      </c>
      <c r="AM95" s="117">
        <f t="shared" si="8"/>
        <v>13614000</v>
      </c>
      <c r="AN95" s="99"/>
    </row>
    <row r="96" spans="4:52">
      <c r="D96" s="32" t="s">
        <v>314</v>
      </c>
      <c r="E96" s="1">
        <v>140000</v>
      </c>
      <c r="L96" s="99"/>
      <c r="M96" s="209"/>
      <c r="N96" s="170"/>
      <c r="O96" s="99"/>
      <c r="P96" s="128"/>
      <c r="Q96" s="169" t="s">
        <v>751</v>
      </c>
      <c r="R96" s="56">
        <v>720930</v>
      </c>
      <c r="S96" s="113">
        <f>R96*$T$123</f>
        <v>172880322.1960324</v>
      </c>
      <c r="T96" s="169" t="s">
        <v>4496</v>
      </c>
      <c r="U96" s="169">
        <f>$Q$94*$T$94*S96/$R$120</f>
        <v>495.87942196351554</v>
      </c>
      <c r="V96" s="95">
        <f>S96+U96</f>
        <v>172880818.07545435</v>
      </c>
      <c r="X96" s="163"/>
      <c r="AH96" s="99">
        <v>76</v>
      </c>
      <c r="AI96" s="113" t="s">
        <v>4236</v>
      </c>
      <c r="AJ96" s="113">
        <v>750000</v>
      </c>
      <c r="AK96" s="99">
        <v>4</v>
      </c>
      <c r="AL96" s="99">
        <f t="shared" si="20"/>
        <v>5</v>
      </c>
      <c r="AM96" s="117">
        <f t="shared" si="8"/>
        <v>3750000</v>
      </c>
      <c r="AN96" s="99"/>
    </row>
    <row r="97" spans="4:47">
      <c r="D97" s="2" t="s">
        <v>478</v>
      </c>
      <c r="E97" s="3">
        <v>1083333</v>
      </c>
      <c r="L97" s="99"/>
      <c r="M97" s="209"/>
      <c r="N97" s="170"/>
      <c r="O97" s="99"/>
      <c r="P97" s="115"/>
      <c r="Q97" s="169" t="s">
        <v>4485</v>
      </c>
      <c r="R97" s="56">
        <v>327026</v>
      </c>
      <c r="S97" s="113">
        <f>R97*$T$123</f>
        <v>78421428.219771251</v>
      </c>
      <c r="T97" s="169" t="s">
        <v>4496</v>
      </c>
      <c r="U97" s="169">
        <f>$Q$94*$T$94*S97/$R$120+Q94*R94</f>
        <v>474.93926434888351</v>
      </c>
      <c r="V97" s="95">
        <f>S97+U97</f>
        <v>78421903.159035593</v>
      </c>
      <c r="X97" s="115"/>
      <c r="AH97" s="99">
        <v>77</v>
      </c>
      <c r="AI97" s="113" t="s">
        <v>4576</v>
      </c>
      <c r="AJ97" s="113">
        <v>1900000</v>
      </c>
      <c r="AK97" s="99">
        <v>1</v>
      </c>
      <c r="AL97" s="99">
        <f>AL100+AK97</f>
        <v>1</v>
      </c>
      <c r="AM97" s="117">
        <f t="shared" si="8"/>
        <v>1900000</v>
      </c>
      <c r="AN97" s="99"/>
    </row>
    <row r="98" spans="4:47">
      <c r="D98" s="2"/>
      <c r="E98" s="3"/>
      <c r="H98" s="96"/>
      <c r="L98" s="99"/>
      <c r="M98" s="209"/>
      <c r="N98" s="170"/>
      <c r="O98" s="99"/>
      <c r="Q98" s="169" t="s">
        <v>1087</v>
      </c>
      <c r="R98" s="56">
        <v>9370</v>
      </c>
      <c r="S98" s="113">
        <f>R98*$T$123</f>
        <v>2246943.0027559176</v>
      </c>
      <c r="T98" s="169" t="s">
        <v>4496</v>
      </c>
      <c r="U98" s="169">
        <f>$Q$94*$T$94*S98/$R$120</f>
        <v>6.4449949146215868</v>
      </c>
      <c r="V98" s="95">
        <f>S98+U98</f>
        <v>2246949.4477508324</v>
      </c>
      <c r="X98" s="115"/>
      <c r="AH98" s="99"/>
      <c r="AI98" s="113"/>
      <c r="AJ98" s="113"/>
      <c r="AK98" s="99"/>
      <c r="AL98" s="99"/>
      <c r="AM98" s="117">
        <f t="shared" si="8"/>
        <v>0</v>
      </c>
      <c r="AN98" s="99"/>
    </row>
    <row r="99" spans="4:47">
      <c r="D99" s="2"/>
      <c r="E99" s="3"/>
      <c r="L99" s="99"/>
      <c r="Q99" s="169" t="s">
        <v>4484</v>
      </c>
      <c r="R99" s="56">
        <v>33055</v>
      </c>
      <c r="S99" s="113">
        <f>R99*$T$123</f>
        <v>7926648.9814404324</v>
      </c>
      <c r="T99" s="169" t="s">
        <v>4496</v>
      </c>
      <c r="U99" s="169">
        <f>$Q$94*$T$94*S99/$R$120</f>
        <v>22.736318772979352</v>
      </c>
      <c r="V99" s="95">
        <f>S99+U99</f>
        <v>7926671.717759205</v>
      </c>
      <c r="X99" s="115"/>
      <c r="Y99">
        <f>R99+U118</f>
        <v>41389</v>
      </c>
      <c r="AH99" s="99"/>
      <c r="AI99" s="113"/>
      <c r="AJ99" s="113"/>
      <c r="AK99" s="99"/>
      <c r="AL99" s="99"/>
      <c r="AM99" s="117">
        <f t="shared" si="8"/>
        <v>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L100" s="99"/>
      <c r="M100" s="209">
        <v>3965000</v>
      </c>
      <c r="N100" s="170"/>
      <c r="O100" s="99" t="s">
        <v>4530</v>
      </c>
      <c r="Q100" s="169"/>
      <c r="R100" s="56"/>
      <c r="S100" s="169"/>
      <c r="T100" s="169"/>
      <c r="U100" s="169"/>
      <c r="V100" s="99"/>
      <c r="X100" s="115"/>
      <c r="AB100" s="96"/>
      <c r="AC100" s="96"/>
      <c r="AH100" s="99"/>
      <c r="AI100" s="113"/>
      <c r="AJ100" s="113"/>
      <c r="AK100" s="99"/>
      <c r="AL100" s="99">
        <f t="shared" si="20"/>
        <v>0</v>
      </c>
      <c r="AM100" s="117">
        <f t="shared" si="8"/>
        <v>0</v>
      </c>
      <c r="AN100" s="99"/>
    </row>
    <row r="101" spans="4:47">
      <c r="D101" s="2" t="s">
        <v>328</v>
      </c>
      <c r="E101" s="3">
        <f>E100/30</f>
        <v>112777.76666666666</v>
      </c>
      <c r="L101" s="99"/>
      <c r="M101" s="209">
        <v>3880000</v>
      </c>
      <c r="N101" s="170"/>
      <c r="O101" s="99" t="s">
        <v>4539</v>
      </c>
      <c r="Q101" s="169"/>
      <c r="R101" s="56"/>
      <c r="S101" s="169"/>
      <c r="T101" s="169"/>
      <c r="U101" s="169"/>
      <c r="V101" s="169"/>
      <c r="W101" s="115" t="s">
        <v>25</v>
      </c>
      <c r="X101" s="96"/>
      <c r="AB101" s="96"/>
      <c r="AC101" s="96"/>
      <c r="AH101" s="99"/>
      <c r="AI101" s="113"/>
      <c r="AJ101" s="113"/>
      <c r="AK101" s="99"/>
      <c r="AL101" s="99">
        <f t="shared" si="17"/>
        <v>0</v>
      </c>
      <c r="AM101" s="117">
        <f t="shared" si="8"/>
        <v>0</v>
      </c>
      <c r="AN101" s="99"/>
    </row>
    <row r="102" spans="4:47">
      <c r="L102" s="99" t="s">
        <v>4547</v>
      </c>
      <c r="M102" s="210"/>
      <c r="N102" s="170">
        <v>3894000</v>
      </c>
      <c r="O102" s="99" t="s">
        <v>4541</v>
      </c>
      <c r="Q102" s="169"/>
      <c r="R102" s="169"/>
      <c r="S102" s="169"/>
      <c r="T102" s="169"/>
      <c r="U102" s="169"/>
      <c r="V102" s="169"/>
      <c r="W102" s="115"/>
      <c r="X102" s="96"/>
      <c r="AB102" s="96"/>
      <c r="AC102" s="96"/>
      <c r="AH102" s="99"/>
      <c r="AI102" s="99"/>
      <c r="AJ102" s="95">
        <f>SUM(AJ20:AJ97)</f>
        <v>227184100</v>
      </c>
      <c r="AK102" s="99"/>
      <c r="AL102" s="99"/>
      <c r="AM102" s="95">
        <f>SUM(AM20:AM101)</f>
        <v>25219672837</v>
      </c>
      <c r="AN102" s="95">
        <f>AM102*AN105/31</f>
        <v>16270756.669032259</v>
      </c>
    </row>
    <row r="103" spans="4:47">
      <c r="L103" s="99"/>
      <c r="M103" s="209"/>
      <c r="N103" s="170">
        <v>3845000</v>
      </c>
      <c r="O103" s="99" t="s">
        <v>4541</v>
      </c>
      <c r="Q103" s="99"/>
      <c r="R103" s="99"/>
      <c r="S103" s="99"/>
      <c r="T103" s="99" t="s">
        <v>25</v>
      </c>
      <c r="U103" s="99"/>
      <c r="V103" s="99"/>
      <c r="W103" s="115"/>
      <c r="X103" s="96"/>
      <c r="AB103" s="96"/>
      <c r="AC103" s="96"/>
      <c r="AH103" s="99"/>
      <c r="AI103" s="99"/>
      <c r="AJ103" s="99" t="s">
        <v>4062</v>
      </c>
      <c r="AK103" s="99"/>
      <c r="AL103" s="99"/>
      <c r="AM103" s="99" t="s">
        <v>284</v>
      </c>
      <c r="AN103" s="99" t="s">
        <v>943</v>
      </c>
    </row>
    <row r="104" spans="4:47">
      <c r="L104" s="99"/>
      <c r="M104" s="209"/>
      <c r="N104" s="170">
        <v>3845000</v>
      </c>
      <c r="O104" s="99" t="s">
        <v>4541</v>
      </c>
      <c r="Q104" s="99"/>
      <c r="R104" s="99"/>
      <c r="S104" s="99"/>
      <c r="T104" s="99"/>
      <c r="U104" s="99"/>
      <c r="V104" s="99"/>
      <c r="W104" s="115"/>
      <c r="X104" s="96"/>
      <c r="AB104" s="96"/>
      <c r="AC104" s="96"/>
      <c r="AH104" s="99"/>
      <c r="AI104" s="99"/>
      <c r="AJ104" s="99"/>
      <c r="AK104" s="99"/>
      <c r="AL104" s="99"/>
      <c r="AM104" s="99"/>
      <c r="AN104" s="99"/>
    </row>
    <row r="105" spans="4:47">
      <c r="L105" s="99"/>
      <c r="M105" s="209"/>
      <c r="N105" s="170">
        <v>3845000</v>
      </c>
      <c r="O105" s="99" t="s">
        <v>4541</v>
      </c>
      <c r="Q105" s="99"/>
      <c r="R105" s="99"/>
      <c r="S105" s="99"/>
      <c r="T105" s="99"/>
      <c r="U105" s="99"/>
      <c r="V105" s="99"/>
      <c r="W105" s="115"/>
      <c r="X105" s="96"/>
      <c r="AB105" s="96"/>
      <c r="AC105" s="96"/>
      <c r="AH105" s="99"/>
      <c r="AI105" s="99"/>
      <c r="AJ105" s="99"/>
      <c r="AK105" s="99"/>
      <c r="AL105" s="99"/>
      <c r="AM105" s="99" t="s">
        <v>4063</v>
      </c>
      <c r="AN105" s="99">
        <v>0.02</v>
      </c>
    </row>
    <row r="106" spans="4:47">
      <c r="L106" s="99" t="s">
        <v>4551</v>
      </c>
      <c r="M106" s="209">
        <v>3990000</v>
      </c>
      <c r="N106" s="170"/>
      <c r="O106" s="99" t="s">
        <v>4545</v>
      </c>
      <c r="Q106" s="96"/>
      <c r="R106" s="96"/>
      <c r="S106" s="96"/>
      <c r="T106" s="96"/>
      <c r="V106" s="96"/>
      <c r="X106" s="115"/>
      <c r="AB106" s="96"/>
      <c r="AC106" s="96"/>
      <c r="AH106" s="99"/>
      <c r="AI106" s="99"/>
      <c r="AJ106" s="99"/>
      <c r="AK106" s="99"/>
      <c r="AL106" s="99"/>
      <c r="AM106" s="99"/>
      <c r="AN106" s="99"/>
    </row>
    <row r="107" spans="4:47">
      <c r="L107" s="99"/>
      <c r="M107" s="209">
        <v>3915000</v>
      </c>
      <c r="N107" s="170"/>
      <c r="O107" s="99" t="s">
        <v>4548</v>
      </c>
      <c r="Q107" s="96"/>
      <c r="R107" s="96"/>
      <c r="S107" s="96"/>
      <c r="T107" s="96"/>
      <c r="V107" s="96"/>
      <c r="AB107" s="96"/>
      <c r="AC107" s="96"/>
      <c r="AH107" s="99"/>
      <c r="AI107" s="99" t="s">
        <v>4064</v>
      </c>
      <c r="AJ107" s="95">
        <f>AJ102+AN102</f>
        <v>243454856.66903225</v>
      </c>
      <c r="AK107" s="99"/>
      <c r="AL107" s="99"/>
      <c r="AM107" s="99"/>
      <c r="AN107" s="99"/>
    </row>
    <row r="108" spans="4:47">
      <c r="L108" s="99"/>
      <c r="M108" s="209">
        <v>3821000</v>
      </c>
      <c r="N108" s="170"/>
      <c r="O108" s="99" t="s">
        <v>4554</v>
      </c>
      <c r="Q108" s="96"/>
      <c r="R108" s="96"/>
      <c r="S108" s="96"/>
      <c r="T108" s="96" t="s">
        <v>25</v>
      </c>
      <c r="V108" s="96"/>
      <c r="AB108" s="96"/>
      <c r="AC108" s="96"/>
      <c r="AI108" t="s">
        <v>4067</v>
      </c>
      <c r="AJ108" s="114">
        <f>SUM(N41:N52)-N45</f>
        <v>232936918.20000002</v>
      </c>
    </row>
    <row r="109" spans="4:47">
      <c r="L109" s="99"/>
      <c r="M109" s="209">
        <v>3610000</v>
      </c>
      <c r="N109" s="170"/>
      <c r="O109" s="99" t="s">
        <v>4576</v>
      </c>
      <c r="Q109" s="96"/>
      <c r="R109" s="96"/>
      <c r="S109" s="96"/>
      <c r="T109" s="96"/>
      <c r="V109" s="96"/>
      <c r="AC109" s="96"/>
      <c r="AD109" s="96"/>
      <c r="AE109"/>
      <c r="AF109"/>
      <c r="AI109" t="s">
        <v>4139</v>
      </c>
      <c r="AJ109" s="114">
        <f>AJ108-AJ102</f>
        <v>5752818.2000000179</v>
      </c>
      <c r="AM109" t="s">
        <v>25</v>
      </c>
    </row>
    <row r="110" spans="4:47">
      <c r="L110" s="99"/>
      <c r="M110" s="209"/>
      <c r="N110" s="170"/>
      <c r="O110" s="99"/>
      <c r="Q110" s="96"/>
      <c r="R110" s="96"/>
      <c r="S110" s="96"/>
      <c r="T110" s="99" t="s">
        <v>180</v>
      </c>
      <c r="U110" s="99" t="s">
        <v>4522</v>
      </c>
      <c r="V110" s="99" t="s">
        <v>4523</v>
      </c>
      <c r="W110" s="99" t="s">
        <v>4537</v>
      </c>
      <c r="X110" s="99" t="s">
        <v>8</v>
      </c>
      <c r="AI110" t="s">
        <v>943</v>
      </c>
      <c r="AJ110" s="114">
        <f>AN102</f>
        <v>16270756.669032259</v>
      </c>
    </row>
    <row r="111" spans="4:47" ht="30">
      <c r="L111" s="99"/>
      <c r="M111" s="170"/>
      <c r="N111" s="170"/>
      <c r="O111" s="99"/>
      <c r="Q111" s="36" t="s">
        <v>4488</v>
      </c>
      <c r="R111" s="95">
        <f>SUM(N43:N52)</f>
        <v>233556228.20000002</v>
      </c>
      <c r="T111" s="113" t="s">
        <v>4496</v>
      </c>
      <c r="U111" s="56">
        <v>1000000</v>
      </c>
      <c r="V111" s="113">
        <v>239.024</v>
      </c>
      <c r="W111" s="113">
        <f>U111*V111</f>
        <v>239024000</v>
      </c>
      <c r="X111" s="99"/>
      <c r="AI111" t="s">
        <v>4068</v>
      </c>
      <c r="AJ111" s="114">
        <f>AJ108-AJ107</f>
        <v>-10517938.469032228</v>
      </c>
      <c r="AR111" s="96"/>
      <c r="AS111" s="96"/>
      <c r="AT111"/>
      <c r="AU111"/>
    </row>
    <row r="112" spans="4:47">
      <c r="M112" s="58"/>
      <c r="N112" s="58"/>
      <c r="O112" s="115"/>
      <c r="Q112" s="99" t="s">
        <v>4486</v>
      </c>
      <c r="R112" s="95">
        <f>SUM(N21:N25)</f>
        <v>24546505</v>
      </c>
      <c r="T112" s="169" t="s">
        <v>4472</v>
      </c>
      <c r="U112" s="56">
        <v>5904</v>
      </c>
      <c r="V112" s="113">
        <v>237.148</v>
      </c>
      <c r="W112" s="113">
        <f t="shared" ref="W112:W119" si="21">U112*V112</f>
        <v>1400121.7919999999</v>
      </c>
      <c r="X112" s="99" t="s">
        <v>1087</v>
      </c>
      <c r="AM112" t="s">
        <v>25</v>
      </c>
    </row>
    <row r="113" spans="13:43">
      <c r="M113" t="s">
        <v>25</v>
      </c>
      <c r="Q113" s="99" t="s">
        <v>4487</v>
      </c>
      <c r="R113" s="95">
        <f>SUM(N28:N30)</f>
        <v>2869300.2</v>
      </c>
      <c r="T113" s="169" t="s">
        <v>4235</v>
      </c>
      <c r="U113" s="169">
        <v>1000</v>
      </c>
      <c r="V113" s="113">
        <v>247.393</v>
      </c>
      <c r="W113" s="113">
        <f t="shared" si="21"/>
        <v>247393</v>
      </c>
      <c r="X113" s="99" t="s">
        <v>751</v>
      </c>
      <c r="AJ113" t="s">
        <v>25</v>
      </c>
    </row>
    <row r="114" spans="13:43">
      <c r="M114" s="114">
        <f>SUM(N100:N105)-SUM(M100:M107)</f>
        <v>-321000</v>
      </c>
      <c r="N114" t="s">
        <v>916</v>
      </c>
      <c r="Q114" s="99" t="s">
        <v>4489</v>
      </c>
      <c r="R114" s="95">
        <f>N41</f>
        <v>52</v>
      </c>
      <c r="T114" s="169" t="s">
        <v>4541</v>
      </c>
      <c r="U114" s="169">
        <v>8071</v>
      </c>
      <c r="V114" s="113">
        <v>247.797</v>
      </c>
      <c r="W114" s="113">
        <f t="shared" si="21"/>
        <v>1999969.5870000001</v>
      </c>
      <c r="X114" s="99" t="s">
        <v>4484</v>
      </c>
    </row>
    <row r="115" spans="13:43">
      <c r="Q115" s="99" t="s">
        <v>4490</v>
      </c>
      <c r="R115" s="95">
        <f>N20</f>
        <v>96</v>
      </c>
      <c r="T115" s="169" t="s">
        <v>4541</v>
      </c>
      <c r="U115" s="169">
        <v>53672</v>
      </c>
      <c r="V115" s="113">
        <v>247.797</v>
      </c>
      <c r="W115" s="113">
        <f t="shared" si="21"/>
        <v>13299760.584000001</v>
      </c>
      <c r="X115" s="99" t="s">
        <v>452</v>
      </c>
    </row>
    <row r="116" spans="13:43">
      <c r="Q116" s="99" t="s">
        <v>4491</v>
      </c>
      <c r="R116" s="95">
        <f>N27</f>
        <v>22</v>
      </c>
      <c r="T116" s="169" t="s">
        <v>4554</v>
      </c>
      <c r="U116" s="169">
        <v>4099</v>
      </c>
      <c r="V116" s="113">
        <v>243.93</v>
      </c>
      <c r="W116" s="113">
        <f t="shared" si="21"/>
        <v>999869.07000000007</v>
      </c>
      <c r="X116" s="99" t="s">
        <v>4484</v>
      </c>
    </row>
    <row r="117" spans="13:43">
      <c r="Q117" s="99" t="s">
        <v>4503</v>
      </c>
      <c r="R117" s="95">
        <v>92900</v>
      </c>
      <c r="T117" s="169" t="s">
        <v>4554</v>
      </c>
      <c r="U117" s="169">
        <v>9301</v>
      </c>
      <c r="V117" s="113">
        <v>243.93</v>
      </c>
      <c r="W117" s="113">
        <f t="shared" si="21"/>
        <v>2268792.9300000002</v>
      </c>
      <c r="X117" s="99" t="s">
        <v>452</v>
      </c>
    </row>
    <row r="118" spans="13:43">
      <c r="Q118" s="99" t="s">
        <v>4560</v>
      </c>
      <c r="R118" s="95">
        <v>410239</v>
      </c>
      <c r="T118" s="169" t="s">
        <v>4574</v>
      </c>
      <c r="U118" s="169">
        <v>8334</v>
      </c>
      <c r="V118" s="113">
        <v>239.97</v>
      </c>
      <c r="W118" s="113">
        <f t="shared" si="21"/>
        <v>1999909.98</v>
      </c>
      <c r="X118" s="99" t="s">
        <v>4484</v>
      </c>
      <c r="AH118" s="99" t="s">
        <v>3643</v>
      </c>
      <c r="AI118" s="99" t="s">
        <v>180</v>
      </c>
      <c r="AJ118" s="99" t="s">
        <v>267</v>
      </c>
      <c r="AK118" s="99" t="s">
        <v>4061</v>
      </c>
      <c r="AL118" s="99" t="s">
        <v>4053</v>
      </c>
      <c r="AM118" s="99" t="s">
        <v>282</v>
      </c>
      <c r="AN118" s="99" t="s">
        <v>4304</v>
      </c>
    </row>
    <row r="119" spans="13:43">
      <c r="Q119" s="99" t="s">
        <v>4588</v>
      </c>
      <c r="R119" s="95">
        <v>147902</v>
      </c>
      <c r="T119" s="169"/>
      <c r="U119" s="169"/>
      <c r="V119" s="113"/>
      <c r="W119" s="113">
        <f t="shared" si="21"/>
        <v>0</v>
      </c>
      <c r="X119" s="99"/>
      <c r="AH119" s="99">
        <v>1</v>
      </c>
      <c r="AI119" s="99" t="s">
        <v>3952</v>
      </c>
      <c r="AJ119" s="117">
        <v>3555820</v>
      </c>
      <c r="AK119" s="99">
        <v>2</v>
      </c>
      <c r="AL119" s="99">
        <f>AK119+AL120</f>
        <v>149</v>
      </c>
      <c r="AM119" s="99">
        <f>AJ119*AL119</f>
        <v>529817180</v>
      </c>
      <c r="AN119" s="99" t="s">
        <v>4328</v>
      </c>
    </row>
    <row r="120" spans="13:43">
      <c r="Q120" s="99" t="s">
        <v>4495</v>
      </c>
      <c r="R120" s="95">
        <f>SUM(R111:R118)</f>
        <v>261475342.40000001</v>
      </c>
      <c r="S120" s="115"/>
      <c r="T120" s="169"/>
      <c r="U120" s="169">
        <f>SUM(U111:U118)</f>
        <v>1090381</v>
      </c>
      <c r="V120" s="99"/>
      <c r="W120" s="99"/>
      <c r="X120" s="99"/>
      <c r="AH120" s="99">
        <v>2</v>
      </c>
      <c r="AI120" s="99" t="s">
        <v>4027</v>
      </c>
      <c r="AJ120" s="117">
        <v>1720837</v>
      </c>
      <c r="AK120" s="99">
        <v>51</v>
      </c>
      <c r="AL120" s="99">
        <f t="shared" ref="AL120:AL144" si="22">AK120+AL121</f>
        <v>147</v>
      </c>
      <c r="AM120" s="99">
        <f t="shared" ref="AM120:AM144" si="23">AJ120*AL120</f>
        <v>252963039</v>
      </c>
      <c r="AN120" s="99" t="s">
        <v>4329</v>
      </c>
      <c r="AO120" t="s">
        <v>25</v>
      </c>
    </row>
    <row r="121" spans="13:43">
      <c r="Q121" s="96"/>
      <c r="S121" s="122"/>
      <c r="T121" s="99"/>
      <c r="U121" s="99" t="s">
        <v>6</v>
      </c>
      <c r="V121" s="99"/>
      <c r="W121" s="99"/>
      <c r="X121" s="99"/>
      <c r="AH121" s="99">
        <v>3</v>
      </c>
      <c r="AI121" s="99" t="s">
        <v>4133</v>
      </c>
      <c r="AJ121" s="117">
        <v>150000</v>
      </c>
      <c r="AK121" s="99">
        <v>3</v>
      </c>
      <c r="AL121" s="99">
        <f t="shared" si="22"/>
        <v>96</v>
      </c>
      <c r="AM121" s="99">
        <f t="shared" si="23"/>
        <v>14400000</v>
      </c>
      <c r="AN121" s="99"/>
      <c r="AP121" t="s">
        <v>25</v>
      </c>
    </row>
    <row r="122" spans="13:43">
      <c r="Q122" s="96"/>
      <c r="R122" s="186"/>
      <c r="S122" s="115"/>
      <c r="T122" s="206" t="s">
        <v>4524</v>
      </c>
      <c r="AH122" s="99">
        <v>4</v>
      </c>
      <c r="AI122" s="99" t="s">
        <v>4148</v>
      </c>
      <c r="AJ122" s="117">
        <v>-95000</v>
      </c>
      <c r="AK122" s="99">
        <v>8</v>
      </c>
      <c r="AL122" s="99">
        <f t="shared" si="22"/>
        <v>93</v>
      </c>
      <c r="AM122" s="99">
        <f t="shared" si="23"/>
        <v>-8835000</v>
      </c>
      <c r="AN122" s="99"/>
      <c r="AQ122" t="s">
        <v>25</v>
      </c>
    </row>
    <row r="123" spans="13:43">
      <c r="Q123" s="96"/>
      <c r="R123" s="186"/>
      <c r="S123" s="115"/>
      <c r="T123" s="205">
        <f>R120/U120</f>
        <v>239.80181459508191</v>
      </c>
      <c r="AH123" s="99">
        <v>5</v>
      </c>
      <c r="AI123" s="99" t="s">
        <v>4175</v>
      </c>
      <c r="AJ123" s="117">
        <v>3150000</v>
      </c>
      <c r="AK123" s="99">
        <v>16</v>
      </c>
      <c r="AL123" s="99">
        <f t="shared" si="22"/>
        <v>85</v>
      </c>
      <c r="AM123" s="99">
        <f t="shared" si="23"/>
        <v>267750000</v>
      </c>
      <c r="AN123" s="99"/>
    </row>
    <row r="124" spans="13:43">
      <c r="Q124" s="96"/>
      <c r="R124" s="115"/>
      <c r="AH124" s="99">
        <v>6</v>
      </c>
      <c r="AI124" s="99" t="s">
        <v>4244</v>
      </c>
      <c r="AJ124" s="117">
        <v>-65000</v>
      </c>
      <c r="AK124" s="99">
        <v>1</v>
      </c>
      <c r="AL124" s="99">
        <f t="shared" si="22"/>
        <v>69</v>
      </c>
      <c r="AM124" s="99">
        <f t="shared" si="23"/>
        <v>-4485000</v>
      </c>
      <c r="AN124" s="99"/>
    </row>
    <row r="125" spans="13:43">
      <c r="U125" s="96" t="s">
        <v>267</v>
      </c>
      <c r="V125" t="s">
        <v>4525</v>
      </c>
      <c r="AH125" s="99">
        <v>7</v>
      </c>
      <c r="AI125" s="99" t="s">
        <v>4330</v>
      </c>
      <c r="AJ125" s="117">
        <v>-95000</v>
      </c>
      <c r="AK125" s="99">
        <v>6</v>
      </c>
      <c r="AL125" s="99">
        <f t="shared" si="22"/>
        <v>68</v>
      </c>
      <c r="AM125" s="99">
        <f t="shared" si="23"/>
        <v>-6460000</v>
      </c>
      <c r="AN125" s="99"/>
    </row>
    <row r="126" spans="13:43">
      <c r="Q126" s="99" t="s">
        <v>4484</v>
      </c>
      <c r="R126" s="99"/>
      <c r="U126" s="113">
        <v>2000000</v>
      </c>
      <c r="V126">
        <f>U126/T123</f>
        <v>8340.2204582025624</v>
      </c>
      <c r="AH126" s="99">
        <v>8</v>
      </c>
      <c r="AI126" s="99" t="s">
        <v>4331</v>
      </c>
      <c r="AJ126" s="117">
        <v>232000</v>
      </c>
      <c r="AK126" s="99">
        <v>7</v>
      </c>
      <c r="AL126" s="99">
        <f t="shared" si="22"/>
        <v>62</v>
      </c>
      <c r="AM126" s="99">
        <f t="shared" si="23"/>
        <v>14384000</v>
      </c>
      <c r="AN126" s="99"/>
    </row>
    <row r="127" spans="13:43">
      <c r="Q127" s="36" t="s">
        <v>180</v>
      </c>
      <c r="R127" s="99" t="s">
        <v>267</v>
      </c>
      <c r="X127" t="s">
        <v>25</v>
      </c>
      <c r="AH127" s="99">
        <v>9</v>
      </c>
      <c r="AI127" s="99" t="s">
        <v>4303</v>
      </c>
      <c r="AJ127" s="117">
        <v>13000000</v>
      </c>
      <c r="AK127" s="99">
        <v>2</v>
      </c>
      <c r="AL127" s="99">
        <f t="shared" si="22"/>
        <v>55</v>
      </c>
      <c r="AM127" s="99">
        <f t="shared" si="23"/>
        <v>715000000</v>
      </c>
      <c r="AN127" s="99"/>
    </row>
    <row r="128" spans="13:43">
      <c r="Q128" s="99" t="s">
        <v>4472</v>
      </c>
      <c r="R128" s="95">
        <v>3000000</v>
      </c>
      <c r="AH128" s="99">
        <v>10</v>
      </c>
      <c r="AI128" s="99" t="s">
        <v>4332</v>
      </c>
      <c r="AJ128" s="117">
        <v>10000000</v>
      </c>
      <c r="AK128" s="99">
        <v>3</v>
      </c>
      <c r="AL128" s="99">
        <f t="shared" si="22"/>
        <v>53</v>
      </c>
      <c r="AM128" s="99">
        <f t="shared" si="23"/>
        <v>530000000</v>
      </c>
      <c r="AN128" s="99"/>
    </row>
    <row r="129" spans="17:40">
      <c r="Q129" s="99" t="s">
        <v>4541</v>
      </c>
      <c r="R129" s="95">
        <v>2000000</v>
      </c>
      <c r="AH129" s="99">
        <v>11</v>
      </c>
      <c r="AI129" s="99" t="s">
        <v>4316</v>
      </c>
      <c r="AJ129" s="117">
        <v>3400000</v>
      </c>
      <c r="AK129" s="99">
        <v>9</v>
      </c>
      <c r="AL129" s="99">
        <f t="shared" si="22"/>
        <v>50</v>
      </c>
      <c r="AM129" s="99">
        <f t="shared" si="23"/>
        <v>170000000</v>
      </c>
      <c r="AN129" s="99"/>
    </row>
    <row r="130" spans="17:40">
      <c r="Q130" s="99" t="s">
        <v>4554</v>
      </c>
      <c r="R130" s="95">
        <v>1000000</v>
      </c>
      <c r="AH130" s="99">
        <v>12</v>
      </c>
      <c r="AI130" s="99" t="s">
        <v>4364</v>
      </c>
      <c r="AJ130" s="117">
        <v>-8736514</v>
      </c>
      <c r="AK130" s="99">
        <v>1</v>
      </c>
      <c r="AL130" s="99">
        <f>AK130+AL131</f>
        <v>41</v>
      </c>
      <c r="AM130" s="99">
        <f t="shared" si="23"/>
        <v>-358197074</v>
      </c>
      <c r="AN130" s="99"/>
    </row>
    <row r="131" spans="17:40" ht="60">
      <c r="Q131" s="99" t="s">
        <v>4574</v>
      </c>
      <c r="R131" s="95">
        <v>2000000</v>
      </c>
      <c r="T131" s="22" t="s">
        <v>4506</v>
      </c>
      <c r="AH131" s="99">
        <v>13</v>
      </c>
      <c r="AI131" s="99" t="s">
        <v>4365</v>
      </c>
      <c r="AJ131" s="117">
        <v>555000</v>
      </c>
      <c r="AK131" s="99">
        <v>5</v>
      </c>
      <c r="AL131" s="99">
        <f t="shared" ref="AL131:AL140" si="24">AK131+AL132</f>
        <v>40</v>
      </c>
      <c r="AM131" s="99">
        <f t="shared" si="23"/>
        <v>22200000</v>
      </c>
      <c r="AN131" s="99"/>
    </row>
    <row r="132" spans="17:40" ht="45">
      <c r="Q132" s="99"/>
      <c r="R132" s="95"/>
      <c r="T132" s="22" t="s">
        <v>4507</v>
      </c>
      <c r="AH132" s="99">
        <v>14</v>
      </c>
      <c r="AI132" s="99" t="s">
        <v>4389</v>
      </c>
      <c r="AJ132" s="117">
        <v>-448308</v>
      </c>
      <c r="AK132" s="99">
        <v>6</v>
      </c>
      <c r="AL132" s="99">
        <f t="shared" si="24"/>
        <v>35</v>
      </c>
      <c r="AM132" s="99">
        <f t="shared" si="23"/>
        <v>-15690780</v>
      </c>
      <c r="AN132" s="99"/>
    </row>
    <row r="133" spans="17:40">
      <c r="Q133" s="99"/>
      <c r="R133" s="95"/>
      <c r="AH133" s="99">
        <v>15</v>
      </c>
      <c r="AI133" s="99" t="s">
        <v>4423</v>
      </c>
      <c r="AJ133" s="117">
        <v>33225</v>
      </c>
      <c r="AK133" s="99">
        <v>0</v>
      </c>
      <c r="AL133" s="99">
        <f t="shared" si="24"/>
        <v>29</v>
      </c>
      <c r="AM133" s="99">
        <f t="shared" si="23"/>
        <v>963525</v>
      </c>
      <c r="AN133" s="99"/>
    </row>
    <row r="134" spans="17:40">
      <c r="Q134" s="99"/>
      <c r="R134" s="95">
        <f>SUM(R128:R132)</f>
        <v>8000000</v>
      </c>
      <c r="AH134" s="149">
        <v>16</v>
      </c>
      <c r="AI134" s="149" t="s">
        <v>4423</v>
      </c>
      <c r="AJ134" s="193">
        <v>4098523</v>
      </c>
      <c r="AK134" s="149">
        <v>2</v>
      </c>
      <c r="AL134" s="149">
        <f t="shared" si="24"/>
        <v>29</v>
      </c>
      <c r="AM134" s="149">
        <f t="shared" si="23"/>
        <v>118857167</v>
      </c>
      <c r="AN134" s="149" t="s">
        <v>657</v>
      </c>
    </row>
    <row r="135" spans="17:40">
      <c r="Q135" s="99"/>
      <c r="R135" s="99" t="s">
        <v>6</v>
      </c>
      <c r="T135" s="99" t="s">
        <v>4526</v>
      </c>
      <c r="U135" s="99" t="s">
        <v>4495</v>
      </c>
      <c r="V135" s="99" t="s">
        <v>953</v>
      </c>
      <c r="AH135" s="149">
        <v>17</v>
      </c>
      <c r="AI135" s="149" t="s">
        <v>4439</v>
      </c>
      <c r="AJ135" s="193">
        <v>-1000000</v>
      </c>
      <c r="AK135" s="149">
        <v>7</v>
      </c>
      <c r="AL135" s="149">
        <f t="shared" si="24"/>
        <v>27</v>
      </c>
      <c r="AM135" s="149">
        <f t="shared" si="23"/>
        <v>-27000000</v>
      </c>
      <c r="AN135" s="149" t="s">
        <v>657</v>
      </c>
    </row>
    <row r="136" spans="17:40">
      <c r="T136" s="95">
        <f>R134+R142+R151+R160</f>
        <v>261239393</v>
      </c>
      <c r="U136" s="95">
        <f>R120</f>
        <v>261475342.40000001</v>
      </c>
      <c r="V136" s="95">
        <f>U136-T136</f>
        <v>235949.40000000596</v>
      </c>
      <c r="AH136" s="149">
        <v>18</v>
      </c>
      <c r="AI136" s="149" t="s">
        <v>4463</v>
      </c>
      <c r="AJ136" s="193">
        <v>750000</v>
      </c>
      <c r="AK136" s="149">
        <v>1</v>
      </c>
      <c r="AL136" s="149">
        <f t="shared" si="24"/>
        <v>20</v>
      </c>
      <c r="AM136" s="149">
        <f t="shared" si="23"/>
        <v>15000000</v>
      </c>
      <c r="AN136" s="149" t="s">
        <v>657</v>
      </c>
    </row>
    <row r="137" spans="17:40">
      <c r="Q137" s="99" t="s">
        <v>1087</v>
      </c>
      <c r="R137" s="99"/>
      <c r="AH137" s="201">
        <v>19</v>
      </c>
      <c r="AI137" s="201" t="s">
        <v>4470</v>
      </c>
      <c r="AJ137" s="202">
        <v>-604152</v>
      </c>
      <c r="AK137" s="201">
        <v>0</v>
      </c>
      <c r="AL137" s="201">
        <f t="shared" si="24"/>
        <v>19</v>
      </c>
      <c r="AM137" s="201">
        <f t="shared" si="23"/>
        <v>-11478888</v>
      </c>
      <c r="AN137" s="201" t="s">
        <v>657</v>
      </c>
    </row>
    <row r="138" spans="17:40">
      <c r="Q138" s="99" t="s">
        <v>4472</v>
      </c>
      <c r="R138" s="95">
        <v>828000</v>
      </c>
      <c r="AH138" s="99">
        <v>20</v>
      </c>
      <c r="AI138" s="99" t="s">
        <v>4471</v>
      </c>
      <c r="AJ138" s="117">
        <v>-587083</v>
      </c>
      <c r="AK138" s="99">
        <v>4</v>
      </c>
      <c r="AL138" s="99">
        <f t="shared" si="24"/>
        <v>19</v>
      </c>
      <c r="AM138" s="99">
        <f t="shared" si="23"/>
        <v>-11154577</v>
      </c>
      <c r="AN138" s="99"/>
    </row>
    <row r="139" spans="17:40">
      <c r="Q139" s="99" t="s">
        <v>4521</v>
      </c>
      <c r="R139" s="95">
        <v>1400000</v>
      </c>
      <c r="AH139" s="201">
        <v>21</v>
      </c>
      <c r="AI139" s="201" t="s">
        <v>4472</v>
      </c>
      <c r="AJ139" s="202">
        <v>-754351</v>
      </c>
      <c r="AK139" s="201">
        <v>0</v>
      </c>
      <c r="AL139" s="201">
        <f t="shared" si="24"/>
        <v>15</v>
      </c>
      <c r="AM139" s="201">
        <f t="shared" si="23"/>
        <v>-11315265</v>
      </c>
      <c r="AN139" s="201" t="s">
        <v>657</v>
      </c>
    </row>
    <row r="140" spans="17:40">
      <c r="Q140" s="99"/>
      <c r="R140" s="95"/>
      <c r="AH140" s="99">
        <v>22</v>
      </c>
      <c r="AI140" s="99" t="s">
        <v>4472</v>
      </c>
      <c r="AJ140" s="117">
        <v>-189619</v>
      </c>
      <c r="AK140" s="99">
        <v>15</v>
      </c>
      <c r="AL140" s="99">
        <f t="shared" si="24"/>
        <v>15</v>
      </c>
      <c r="AM140" s="99">
        <f t="shared" si="23"/>
        <v>-2844285</v>
      </c>
      <c r="AN140" s="99"/>
    </row>
    <row r="141" spans="17:40">
      <c r="Q141" s="99"/>
      <c r="R141" s="95"/>
      <c r="AH141" s="201">
        <v>23</v>
      </c>
      <c r="AI141" s="201" t="s">
        <v>4582</v>
      </c>
      <c r="AJ141" s="201">
        <v>7100</v>
      </c>
      <c r="AK141" s="201">
        <v>0</v>
      </c>
      <c r="AL141" s="201">
        <f>AK141+AL144</f>
        <v>0</v>
      </c>
      <c r="AM141" s="201">
        <f t="shared" si="23"/>
        <v>0</v>
      </c>
      <c r="AN141" s="201"/>
    </row>
    <row r="142" spans="17:40">
      <c r="Q142" s="99"/>
      <c r="R142" s="95">
        <f>SUM(R138:R140)</f>
        <v>2228000</v>
      </c>
      <c r="AH142" s="20">
        <v>24</v>
      </c>
      <c r="AI142" s="20" t="s">
        <v>4582</v>
      </c>
      <c r="AJ142" s="20">
        <v>-147902</v>
      </c>
      <c r="AK142" s="20">
        <v>1</v>
      </c>
      <c r="AL142" s="20"/>
      <c r="AM142" s="20"/>
      <c r="AN142" s="20"/>
    </row>
    <row r="143" spans="17:40">
      <c r="Q143" s="99"/>
      <c r="R143" s="99" t="s">
        <v>6</v>
      </c>
      <c r="AH143" s="20"/>
      <c r="AI143" s="20"/>
      <c r="AJ143" s="20"/>
      <c r="AK143" s="20"/>
      <c r="AL143" s="20"/>
      <c r="AM143" s="20"/>
      <c r="AN143" s="20"/>
    </row>
    <row r="144" spans="17:40">
      <c r="AH144" s="99"/>
      <c r="AI144" s="99"/>
      <c r="AJ144" s="99"/>
      <c r="AK144" s="99"/>
      <c r="AL144" s="99">
        <f t="shared" si="22"/>
        <v>0</v>
      </c>
      <c r="AM144" s="99">
        <f t="shared" si="23"/>
        <v>0</v>
      </c>
      <c r="AN144" s="99"/>
    </row>
    <row r="145" spans="17:44">
      <c r="Q145" s="99" t="s">
        <v>751</v>
      </c>
      <c r="R145" s="99"/>
      <c r="AH145" s="99"/>
      <c r="AI145" s="99"/>
      <c r="AJ145" s="99"/>
      <c r="AK145" s="99"/>
      <c r="AL145" s="99"/>
      <c r="AM145" s="99"/>
      <c r="AN145" s="99"/>
    </row>
    <row r="146" spans="17:44">
      <c r="Q146" s="99" t="s">
        <v>4472</v>
      </c>
      <c r="R146" s="95">
        <v>172080000</v>
      </c>
      <c r="AH146" s="99"/>
      <c r="AI146" s="99"/>
      <c r="AJ146" s="95">
        <f>SUM(AJ119:AJ145)</f>
        <v>27929576</v>
      </c>
      <c r="AK146" s="99"/>
      <c r="AL146" s="99"/>
      <c r="AM146" s="99">
        <f>SUM(AM119:AM145)</f>
        <v>2193874042</v>
      </c>
      <c r="AN146" s="95">
        <f>AM146*AN105/31</f>
        <v>1415402.6077419356</v>
      </c>
      <c r="AR146" t="s">
        <v>25</v>
      </c>
    </row>
    <row r="147" spans="17:44">
      <c r="Q147" s="99" t="s">
        <v>4235</v>
      </c>
      <c r="R147" s="95">
        <v>247393</v>
      </c>
      <c r="AJ147" t="s">
        <v>4062</v>
      </c>
      <c r="AM147" t="s">
        <v>284</v>
      </c>
      <c r="AN147" t="s">
        <v>943</v>
      </c>
    </row>
    <row r="148" spans="17:44">
      <c r="Q148" s="99"/>
      <c r="R148" s="95"/>
    </row>
    <row r="149" spans="17:44">
      <c r="Q149" s="99"/>
      <c r="R149" s="95"/>
      <c r="AI149" t="s">
        <v>4064</v>
      </c>
      <c r="AJ149" s="114">
        <f>AJ146+AN146</f>
        <v>29344978.607741937</v>
      </c>
    </row>
    <row r="150" spans="17:44">
      <c r="Q150" s="99"/>
      <c r="R150" s="95"/>
      <c r="AI150" t="s">
        <v>4067</v>
      </c>
      <c r="AJ150" s="114">
        <f>SUM(N20:N30)</f>
        <v>27415923.199999999</v>
      </c>
    </row>
    <row r="151" spans="17:44">
      <c r="Q151" s="99"/>
      <c r="R151" s="95">
        <f>SUM(R146:R149)</f>
        <v>172327393</v>
      </c>
      <c r="AI151" t="s">
        <v>4139</v>
      </c>
      <c r="AJ151" s="114">
        <f>AJ150-AJ146</f>
        <v>-513652.80000000075</v>
      </c>
    </row>
    <row r="152" spans="17:44">
      <c r="Q152" s="99"/>
      <c r="R152" s="99" t="s">
        <v>6</v>
      </c>
      <c r="T152" t="s">
        <v>25</v>
      </c>
      <c r="AI152" t="s">
        <v>943</v>
      </c>
      <c r="AJ152" s="114">
        <f>AN146</f>
        <v>1415402.6077419356</v>
      </c>
    </row>
    <row r="153" spans="17:44">
      <c r="AI153" t="s">
        <v>4068</v>
      </c>
      <c r="AJ153" s="114">
        <f>AJ151-AJ152</f>
        <v>-1929055.4077419364</v>
      </c>
    </row>
    <row r="155" spans="17:44">
      <c r="Q155" s="99" t="s">
        <v>452</v>
      </c>
      <c r="R155" s="99"/>
    </row>
    <row r="156" spans="17:44">
      <c r="Q156" s="99" t="s">
        <v>4472</v>
      </c>
      <c r="R156" s="95">
        <v>63115000</v>
      </c>
    </row>
    <row r="157" spans="17:44">
      <c r="Q157" s="99" t="s">
        <v>4541</v>
      </c>
      <c r="R157" s="95">
        <v>13300000</v>
      </c>
    </row>
    <row r="158" spans="17:44">
      <c r="Q158" s="99" t="s">
        <v>4554</v>
      </c>
      <c r="R158" s="95">
        <v>2269000</v>
      </c>
    </row>
    <row r="159" spans="17:44">
      <c r="Q159" s="99"/>
      <c r="R159" s="95"/>
    </row>
    <row r="160" spans="17:44">
      <c r="Q160" s="99"/>
      <c r="R160" s="95">
        <f>SUM(R156:R158)</f>
        <v>78684000</v>
      </c>
    </row>
    <row r="161" spans="17:18">
      <c r="Q161" s="99"/>
      <c r="R161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8:P29 S28 P22 U97 S7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3643</v>
      </c>
      <c r="B1" s="99" t="s">
        <v>180</v>
      </c>
      <c r="C1" s="99" t="s">
        <v>4284</v>
      </c>
      <c r="D1" s="99" t="s">
        <v>4285</v>
      </c>
      <c r="E1" s="99" t="s">
        <v>4286</v>
      </c>
      <c r="F1" s="99" t="s">
        <v>4287</v>
      </c>
      <c r="G1" s="74" t="s">
        <v>4288</v>
      </c>
      <c r="H1" s="74" t="s">
        <v>4457</v>
      </c>
      <c r="I1" s="74" t="s">
        <v>4311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4289</v>
      </c>
      <c r="G27" s="99" t="s">
        <v>4290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AgentBased</vt:lpstr>
      <vt:lpstr>آذر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2018-12-16T09:07:42Z</dcterms:modified>
</cp:coreProperties>
</file>