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D328" i="20" l="1"/>
  <c r="D327" i="20"/>
  <c r="D75" i="52" l="1"/>
  <c r="AD42" i="52"/>
  <c r="Z42" i="52"/>
  <c r="AE42" i="52"/>
  <c r="V131" i="18"/>
  <c r="W131" i="18" s="1"/>
  <c r="S131" i="18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P76" i="52" s="1"/>
  <c r="N77" i="52"/>
  <c r="P77" i="52" s="1"/>
  <c r="N78" i="52"/>
  <c r="P78" i="52" s="1"/>
  <c r="N79" i="52"/>
  <c r="P79" i="52" s="1"/>
  <c r="N80" i="52"/>
  <c r="P80" i="52" s="1"/>
  <c r="N81" i="52"/>
  <c r="P81" i="52" s="1"/>
  <c r="N82" i="52"/>
  <c r="P82" i="52" s="1"/>
  <c r="N83" i="52"/>
  <c r="N84" i="52"/>
  <c r="P84" i="52" s="1"/>
  <c r="N85" i="52"/>
  <c r="P85" i="52" s="1"/>
  <c r="N86" i="52"/>
  <c r="P86" i="52" s="1"/>
  <c r="N87" i="52"/>
  <c r="N88" i="52"/>
  <c r="P88" i="52" s="1"/>
  <c r="N89" i="52"/>
  <c r="P89" i="52" s="1"/>
  <c r="N90" i="52"/>
  <c r="P90" i="52" s="1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75" i="52" l="1"/>
  <c r="P87" i="52"/>
  <c r="X131" i="18"/>
  <c r="P83" i="52"/>
  <c r="Z41" i="52" l="1"/>
  <c r="AD41" i="52"/>
  <c r="AE41" i="52"/>
  <c r="N54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P148" i="18"/>
  <c r="W201" i="18"/>
  <c r="W200" i="18"/>
  <c r="G125" i="18"/>
  <c r="G124" i="18"/>
  <c r="G123" i="18"/>
  <c r="G122" i="18"/>
  <c r="J125" i="18"/>
  <c r="J124" i="18"/>
  <c r="J123" i="18"/>
  <c r="J122" i="18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2" i="18"/>
  <c r="R184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P71" i="52" s="1"/>
  <c r="N72" i="52"/>
  <c r="N73" i="52"/>
  <c r="P74" i="52" s="1"/>
  <c r="N68" i="52"/>
  <c r="P68" i="52" s="1"/>
  <c r="P69" i="52" l="1"/>
  <c r="P73" i="52"/>
  <c r="P70" i="52"/>
  <c r="P91" i="52"/>
  <c r="P72" i="52"/>
  <c r="K332" i="20"/>
  <c r="I332" i="20"/>
  <c r="G331" i="20"/>
  <c r="J332" i="20"/>
  <c r="W199" i="18"/>
  <c r="W198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2" i="18"/>
  <c r="R237" i="18"/>
  <c r="W197" i="18"/>
  <c r="W196" i="18"/>
  <c r="N34" i="52"/>
  <c r="N33" i="52"/>
  <c r="P42" i="52"/>
  <c r="X211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D2" i="57"/>
  <c r="C2" i="57"/>
  <c r="B2" i="57"/>
  <c r="D63" i="57"/>
  <c r="L22" i="18" s="1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B32" i="57"/>
  <c r="I326" i="20" l="1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M41" i="52"/>
  <c r="Z26" i="52"/>
  <c r="AD32" i="52"/>
  <c r="Z32" i="52"/>
  <c r="AE32" i="52"/>
  <c r="K324" i="20" l="1"/>
  <c r="I324" i="20"/>
  <c r="G323" i="20"/>
  <c r="J324" i="20"/>
  <c r="W195" i="18"/>
  <c r="W19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03" i="18"/>
  <c r="W193" i="18"/>
  <c r="W192" i="18"/>
  <c r="N30" i="52"/>
  <c r="N29" i="52"/>
  <c r="AD27" i="52"/>
  <c r="Z27" i="52"/>
  <c r="AE27" i="52"/>
  <c r="I322" i="20" l="1"/>
  <c r="G321" i="20"/>
  <c r="J322" i="20"/>
  <c r="K322" i="20"/>
  <c r="AM202" i="18"/>
  <c r="W191" i="18"/>
  <c r="W190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89" i="18"/>
  <c r="W188" i="18"/>
  <c r="AJ148" i="18"/>
  <c r="N24" i="52"/>
  <c r="N26" i="52"/>
  <c r="N25" i="52"/>
  <c r="T219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87" i="18"/>
  <c r="W186" i="18"/>
  <c r="N23" i="52"/>
  <c r="N22" i="52"/>
  <c r="Z24" i="52"/>
  <c r="AD24" i="52"/>
  <c r="AE24" i="52"/>
  <c r="AL198" i="18" l="1"/>
  <c r="W185" i="18"/>
  <c r="W184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3" i="18"/>
  <c r="W182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1" i="18"/>
  <c r="W180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79" i="18"/>
  <c r="W178" i="18"/>
  <c r="D303" i="20"/>
  <c r="D302" i="20"/>
  <c r="W177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B341" i="20"/>
  <c r="D297" i="20"/>
  <c r="W175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4" i="18" l="1"/>
  <c r="W173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2" i="18"/>
  <c r="W171" i="18"/>
  <c r="H38" i="55" l="1"/>
  <c r="I2" i="55"/>
  <c r="I33" i="55" s="1"/>
  <c r="I38" i="55" s="1"/>
  <c r="D32" i="55"/>
  <c r="D293" i="20"/>
  <c r="W170" i="18" l="1"/>
  <c r="N50" i="18"/>
  <c r="M108" i="18" s="1"/>
  <c r="N53" i="18"/>
  <c r="N108" i="18" l="1"/>
  <c r="D292" i="20"/>
  <c r="C8" i="36"/>
  <c r="W169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9" i="18"/>
  <c r="D281" i="20" l="1"/>
  <c r="D280" i="20" l="1"/>
  <c r="AD5" i="52" l="1"/>
  <c r="B38" i="52"/>
  <c r="D279" i="20"/>
  <c r="W144" i="18" l="1"/>
  <c r="W167" i="18"/>
  <c r="D278" i="20"/>
  <c r="W146" i="18" l="1"/>
  <c r="W14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9" i="18"/>
  <c r="S13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s="1"/>
  <c r="H270" i="20" l="1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5" i="18"/>
  <c r="AM124" i="18" l="1"/>
  <c r="AL123" i="18"/>
  <c r="AM123" i="18" l="1"/>
  <c r="AL122" i="18"/>
  <c r="AL121" i="18" l="1"/>
  <c r="AM122" i="18"/>
  <c r="W159" i="18"/>
  <c r="W160" i="18"/>
  <c r="W161" i="18"/>
  <c r="W162" i="18"/>
  <c r="W163" i="18"/>
  <c r="W164" i="18"/>
  <c r="W176" i="18"/>
  <c r="W158" i="18"/>
  <c r="AM121" i="18" l="1"/>
  <c r="AL120" i="18"/>
  <c r="N56" i="18"/>
  <c r="AM120" i="18" l="1"/>
  <c r="AL119" i="18"/>
  <c r="AM119" i="18" l="1"/>
  <c r="AL118" i="18"/>
  <c r="T142" i="18"/>
  <c r="S52" i="18"/>
  <c r="S53" i="18" s="1"/>
  <c r="S54" i="18" s="1"/>
  <c r="R163" i="18"/>
  <c r="R161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0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59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4" i="18" s="1"/>
  <c r="R158" i="18" l="1"/>
  <c r="R168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19" i="18" l="1"/>
  <c r="T206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09" i="18"/>
  <c r="V219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3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6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3" i="18"/>
  <c r="X133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5" i="18"/>
  <c r="N34" i="18" s="1"/>
  <c r="S144" i="18"/>
  <c r="U144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46" i="18"/>
  <c r="L21" i="18"/>
  <c r="G301" i="20"/>
  <c r="I302" i="20"/>
  <c r="K302" i="20"/>
  <c r="J302" i="20"/>
  <c r="U145" i="18"/>
  <c r="V145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V126" i="18"/>
  <c r="G288" i="20"/>
  <c r="K289" i="20"/>
  <c r="J289" i="20"/>
  <c r="I289" i="20"/>
  <c r="AL57" i="18"/>
  <c r="AM58" i="18"/>
  <c r="E37" i="14"/>
  <c r="G37" i="14" s="1"/>
  <c r="S130" i="18" l="1"/>
  <c r="V130" i="18" s="1"/>
  <c r="V129" i="18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30" i="18"/>
  <c r="X130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4" i="18"/>
  <c r="V14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<sst xmlns="http://schemas.openxmlformats.org/spreadsheetml/2006/main" count="11120" uniqueCount="4877">
  <si>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</si>
  <si>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</si>
  <si>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</si>
  <si>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</si>
  <si>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</si>
  <si>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</si>
  <si>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</si>
  <si>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</si>
  <si>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</si>
  <si>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</si>
  <si>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</si>
  <si>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</si>
  <si>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</si>
  <si>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</si>
  <si>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</si>
  <si>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</si>
  <si>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</si>
  <si>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</si>
  <si>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</si>
  <si>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</si>
  <si>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</si>
  <si>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</si>
  <si>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</si>
  <si>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</si>
  <si>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</si>
  <si>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</si>
  <si>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</si>
  <si>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</si>
  <si>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</si>
  <si>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</si>
  <si>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</si>
  <si>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</si>
  <si>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</si>
  <si>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</si>
  <si>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</si>
  <si>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</si>
  <si>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</si>
  <si>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</si>
  <si>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</si>
  <si>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</si>
  <si>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</si>
  <si>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</si>
  <si>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</si>
  <si>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</si>
  <si>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</si>
  <si>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</si>
  <si>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</si>
  <si>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</si>
  <si>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</si>
  <si>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</si>
  <si>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</si>
  <si>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</si>
  <si>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</si>
  <si>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</si>
  <si>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</si>
  <si>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</si>
  <si>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</si>
  <si>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</si>
  <si>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</si>
  <si>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</si>
  <si>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</si>
  <si>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</si>
  <si>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</si>
  <si>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</si>
  <si>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</si>
  <si>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</si>
  <si>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</si>
  <si>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</si>
  <si>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</si>
  <si>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</si>
  <si>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</si>
  <si>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</si>
  <si>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</si>
  <si>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</si>
  <si>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</si>
  <si>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</si>
  <si>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</si>
  <si>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</si>
  <si>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</si>
  <si>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</si>
  <si>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</si>
  <si>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</si>
  <si>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</si>
  <si>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</si>
  <si>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</si>
  <si>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</si>
  <si>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</si>
  <si>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</si>
  <si>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</si>
  <si>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</si>
  <si>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</si>
  <si>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</si>
  <si>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</si>
  <si>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</si>
  <si>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</si>
  <si>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</si>
  <si>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</si>
  <si>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</si>
  <si>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</si>
  <si>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</si>
  <si>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</si>
  <si>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</si>
  <si>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</si>
  <si>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</si>
  <si>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</si>
  <si>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</si>
  <si>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</si>
  <si>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</si>
  <si>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</si>
  <si>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</si>
  <si>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</si>
  <si>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</si>
  <si>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</si>
  <si>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</si>
  <si>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</si>
  <si>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</si>
  <si>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</si>
  <si>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</si>
  <si>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</si>
  <si>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</si>
  <si>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</si>
  <si>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</si>
  <si>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</si>
  <si>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</si>
  <si>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</si>
  <si>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</si>
  <si>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</si>
  <si>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</si>
  <si>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</si>
  <si>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</si>
  <si>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</si>
  <si>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</si>
  <si>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</si>
  <si>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</si>
  <si>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</si>
  <si>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</si>
  <si>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</si>
  <si>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</si>
  <si>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</si>
  <si>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</si>
  <si>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</si>
  <si>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</si>
  <si>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</si>
  <si>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</si>
  <si>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</si>
  <si>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</si>
  <si>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</si>
  <si>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</si>
  <si>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</si>
  <si>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</si>
  <si>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</si>
  <si>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</si>
  <si>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</si>
  <si>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</si>
  <si>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</si>
  <si>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</si>
  <si>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</si>
  <si>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</si>
  <si>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</si>
  <si>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</si>
  <si>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</si>
  <si>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</si>
  <si>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</si>
  <si>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</si>
  <si>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</si>
  <si>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</si>
  <si>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</si>
  <si>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</si>
  <si>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</si>
  <si>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</si>
  <si>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</si>
  <si>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</si>
  <si>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</si>
  <si>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</si>
  <si>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</si>
  <si>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</si>
  <si>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</si>
  <si>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</si>
  <si>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</si>
  <si>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</si>
  <si>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</si>
  <si>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</si>
  <si>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</si>
  <si>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</si>
  <si>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</si>
  <si>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</si>
  <si>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</si>
  <si>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</si>
  <si>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</si>
  <si>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</si>
  <si>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</si>
  <si>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</si>
  <si>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</si>
  <si>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</si>
  <si>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</si>
  <si>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</si>
  <si>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</si>
  <si>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</si>
  <si>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</si>
  <si>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</si>
  <si>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</si>
  <si>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</si>
  <si>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</si>
  <si>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</si>
  <si>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</si>
  <si>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</si>
  <si>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</si>
  <si>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</si>
  <si>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</si>
  <si>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</si>
  <si>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</si>
  <si>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</si>
  <si>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</si>
  <si>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</si>
  <si>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</si>
  <si>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</si>
  <si>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</si>
  <si>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</si>
  <si>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</si>
  <si>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</si>
  <si>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</si>
  <si>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</si>
  <si>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</si>
  <si>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</si>
  <si>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</si>
  <si>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</si>
  <si>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</si>
  <si>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</si>
  <si>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</si>
  <si>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</si>
  <si>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</si>
  <si>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</si>
  <si>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</si>
  <si>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</si>
  <si>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</si>
  <si>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</si>
  <si>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</si>
  <si>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</si>
  <si>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</si>
  <si>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</si>
  <si>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</si>
  <si>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</si>
  <si>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</si>
  <si>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</si>
  <si>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</si>
  <si>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</si>
  <si>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</si>
  <si>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</si>
  <si>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</si>
  <si>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</si>
  <si>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</si>
  <si>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</si>
  <si>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</si>
  <si>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</si>
  <si>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</si>
  <si>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</si>
  <si>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</si>
  <si>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</si>
  <si>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</si>
  <si>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</si>
  <si>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</si>
  <si>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</si>
  <si>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</si>
  <si>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</si>
  <si>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</si>
  <si>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</si>
  <si>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</si>
  <si>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</si>
  <si>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</si>
  <si>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</si>
  <si>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</si>
  <si>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</si>
  <si>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</si>
  <si>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</si>
  <si>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</si>
  <si>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</si>
  <si>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</si>
  <si>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</si>
  <si>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</si>
  <si>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</si>
  <si>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</si>
  <si>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</si>
  <si>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</si>
  <si>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</si>
  <si>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</si>
  <si>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</si>
  <si>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</si>
  <si>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</si>
  <si>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</si>
  <si>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</si>
  <si>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</si>
  <si>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</si>
  <si>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</si>
  <si>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</si>
  <si>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</si>
  <si>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</si>
  <si>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</si>
  <si>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</si>
  <si>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</si>
  <si>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</si>
  <si>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</si>
  <si>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</si>
  <si>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</si>
  <si>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</si>
  <si>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</si>
  <si>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</si>
  <si>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</si>
  <si>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</si>
  <si>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</si>
  <si>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</si>
  <si>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</si>
  <si>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</si>
  <si>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</si>
  <si>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</si>
  <si>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</si>
  <si>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</si>
  <si>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</si>
  <si>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</si>
  <si>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</si>
  <si>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</si>
  <si>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</si>
  <si>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</si>
  <si>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</si>
  <si>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</si>
  <si>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</si>
  <si>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</si>
  <si>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</si>
  <si>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</si>
  <si>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</si>
  <si>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</si>
  <si>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</si>
  <si>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</si>
  <si>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</si>
  <si>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</si>
  <si>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</si>
  <si>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</si>
  <si>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</si>
  <si>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</si>
  <si>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</si>
  <si>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</si>
  <si>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</si>
  <si>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</si>
  <si>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</si>
  <si>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</si>
  <si>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</si>
  <si>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</si>
  <si>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</si>
  <si>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</si>
  <si>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</si>
  <si>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</si>
  <si>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</si>
  <si>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</si>
  <si>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</si>
  <si>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</si>
  <si>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</si>
  <si>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</si>
  <si>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</si>
  <si>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</si>
  <si>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</si>
  <si>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</si>
  <si>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</si>
  <si>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</si>
  <si>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</si>
  <si>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</si>
  <si>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</si>
  <si>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</si>
  <si>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</si>
  <si>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</si>
  <si>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</si>
  <si>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</si>
  <si>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</si>
  <si>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</si>
  <si>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</si>
  <si>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</si>
  <si>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</si>
  <si>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</si>
  <si>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</si>
  <si>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</si>
  <si>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</si>
  <si>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</si>
  <si>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</si>
  <si>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</si>
  <si>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</si>
  <si>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</si>
  <si>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</si>
  <si>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</si>
  <si>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</si>
  <si>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</si>
  <si>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</si>
  <si>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</si>
  <si>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</si>
  <si>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</si>
  <si>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</si>
  <si>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</si>
  <si>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</si>
  <si>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</si>
  <si>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</si>
  <si>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</si>
  <si>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</si>
  <si>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</si>
  <si>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</si>
  <si>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</si>
  <si>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</si>
  <si>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</si>
  <si>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</si>
  <si>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</si>
  <si>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</si>
  <si>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</si>
  <si>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</si>
  <si>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</si>
  <si>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</si>
  <si>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</si>
  <si>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</si>
  <si>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</si>
  <si>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</si>
  <si>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</si>
  <si>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</si>
  <si>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</si>
  <si>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</si>
  <si>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</si>
  <si>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</si>
  <si>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</si>
  <si>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</si>
  <si>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</si>
  <si>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</si>
  <si>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</si>
  <si>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</si>
  <si>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</si>
  <si>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</si>
  <si>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</si>
  <si>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</si>
  <si>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</si>
  <si>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</si>
  <si>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</si>
  <si>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</si>
  <si>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</si>
  <si>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</si>
  <si>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</si>
  <si>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</si>
  <si>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</si>
  <si>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</si>
  <si>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</si>
  <si>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</si>
  <si>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</si>
  <si>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</si>
  <si>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</si>
  <si>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</si>
  <si>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</si>
  <si>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</si>
  <si>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</si>
  <si>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</si>
  <si>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</si>
  <si>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</si>
  <si>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</si>
  <si>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</si>
  <si>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</si>
  <si>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</si>
  <si>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</si>
  <si>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</si>
  <si>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</si>
  <si>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</si>
  <si>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</si>
  <si>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</si>
  <si>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</si>
  <si>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</si>
  <si>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</si>
  <si>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</si>
  <si>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</si>
  <si>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</si>
  <si>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</si>
  <si>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</si>
  <si>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</si>
  <si>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</si>
  <si>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</si>
  <si>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</si>
  <si>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</si>
  <si>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</si>
  <si>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</si>
  <si>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</si>
  <si>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</si>
  <si>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</si>
  <si>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</si>
  <si>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</si>
  <si>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</si>
  <si>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</si>
  <si>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</si>
  <si>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</si>
  <si>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</si>
  <si>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</si>
  <si>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</si>
  <si>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</si>
  <si>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</si>
  <si>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</si>
  <si>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</si>
  <si>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</si>
  <si>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</si>
  <si>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</si>
  <si>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</si>
  <si>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</si>
  <si>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</si>
  <si>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</si>
  <si>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</si>
  <si>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</si>
  <si>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</si>
  <si>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</si>
  <si>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</si>
  <si>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</si>
  <si>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</si>
  <si>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</si>
  <si>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</si>
  <si>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</si>
  <si>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</si>
  <si>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</si>
  <si>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</si>
  <si>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</si>
  <si>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</si>
  <si>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</si>
  <si>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</si>
  <si>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</si>
  <si>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</si>
  <si>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</si>
  <si>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</si>
  <si>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</si>
  <si>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</si>
  <si>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</si>
  <si>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</si>
  <si>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</si>
  <si>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</si>
  <si>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</si>
  <si>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</si>
  <si>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</si>
  <si>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</si>
  <si>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</si>
  <si>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</si>
  <si>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</si>
  <si>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</si>
  <si>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</si>
  <si>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</si>
  <si>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</si>
  <si>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</si>
  <si>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</si>
  <si>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</si>
  <si>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</si>
  <si>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</si>
  <si>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</si>
  <si>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</si>
  <si>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</si>
  <si>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</si>
  <si>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</si>
  <si>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</si>
  <si>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</si>
  <si>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</si>
  <si>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</si>
  <si>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</si>
  <si>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</si>
  <si>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</si>
  <si>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</si>
  <si>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</si>
  <si>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</si>
  <si>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</si>
  <si>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</si>
  <si>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</si>
  <si>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</si>
  <si>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</si>
  <si>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</si>
  <si>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</si>
  <si>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</si>
  <si>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</si>
  <si>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</si>
  <si>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</si>
  <si>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</si>
  <si>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</si>
  <si>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</si>
  <si>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</si>
  <si>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</si>
  <si>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</si>
  <si>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</si>
  <si>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</si>
  <si>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</si>
  <si>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</si>
  <si>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</si>
  <si>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</si>
  <si>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</si>
  <si>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</si>
  <si>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</si>
  <si>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</si>
  <si>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</si>
  <si>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</si>
  <si>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</si>
  <si>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</si>
  <si>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</si>
  <si>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</si>
  <si>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</si>
  <si>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</si>
  <si>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</si>
  <si>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</si>
  <si>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</si>
  <si>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</si>
  <si>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</si>
  <si>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</si>
  <si>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</si>
  <si>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</si>
  <si>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</si>
  <si>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</si>
  <si>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</si>
  <si>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</si>
  <si>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</si>
  <si>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</si>
  <si>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</si>
  <si>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</si>
  <si>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</si>
  <si>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</si>
  <si>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</si>
  <si>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</si>
  <si>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</si>
  <si>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</si>
  <si>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</si>
  <si>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</si>
  <si>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</si>
  <si>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</si>
  <si>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</si>
  <si>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</si>
  <si>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</si>
  <si>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</si>
  <si>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</si>
  <si>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</si>
  <si>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</si>
  <si>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</si>
  <si>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</si>
  <si>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</si>
  <si>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</si>
  <si>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</si>
  <si>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</si>
  <si>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</si>
  <si>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</si>
  <si>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</si>
  <si>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</si>
  <si>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</si>
  <si>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</si>
  <si>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</si>
  <si>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</si>
  <si>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</si>
  <si>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</si>
  <si>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</si>
  <si>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</si>
  <si>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</si>
  <si>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</si>
  <si>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</si>
  <si>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</si>
  <si>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</si>
  <si>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</si>
  <si>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</si>
  <si>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</si>
  <si>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</si>
  <si>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</si>
  <si>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</si>
  <si>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</si>
  <si>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</si>
  <si>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</si>
  <si>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</si>
  <si>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</si>
  <si>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</si>
  <si>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</si>
  <si>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</si>
  <si>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</si>
  <si>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</si>
  <si>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</si>
  <si>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</si>
  <si>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</si>
  <si>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</si>
  <si>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</si>
  <si>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</si>
  <si>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</si>
  <si>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</si>
  <si>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</si>
  <si>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</si>
  <si>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</si>
  <si>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</si>
  <si>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</si>
  <si>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</si>
  <si>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</si>
  <si>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</si>
  <si>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</si>
  <si>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</si>
  <si>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</si>
  <si>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</si>
  <si>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</si>
  <si>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</si>
  <si>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</si>
  <si>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</si>
  <si>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</si>
  <si>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</si>
  <si>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</si>
  <si>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</si>
  <si>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</si>
  <si>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</si>
  <si>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</si>
  <si>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</si>
  <si>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</si>
  <si>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</si>
  <si>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</si>
  <si>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</si>
  <si>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</si>
  <si>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</si>
  <si>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</si>
  <si>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</si>
  <si>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</si>
  <si>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</si>
  <si>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</si>
  <si>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</si>
  <si>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</si>
  <si>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</si>
  <si>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</si>
  <si>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</si>
  <si>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</si>
  <si>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</si>
  <si>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</si>
  <si>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</si>
  <si>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</si>
  <si>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</si>
  <si>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</si>
  <si>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</si>
  <si>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</si>
  <si>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</si>
  <si>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</si>
  <si>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</si>
  <si>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</si>
  <si>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</si>
  <si>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</si>
  <si>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</si>
  <si>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</si>
  <si>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</si>
  <si>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</si>
  <si>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</si>
  <si>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</si>
  <si>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</si>
  <si>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</si>
  <si>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</si>
  <si>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</si>
  <si>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</si>
  <si>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</si>
  <si>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</si>
  <si>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</si>
  <si>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</si>
  <si>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</si>
  <si>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</si>
  <si>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</si>
  <si>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</si>
  <si>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</si>
  <si>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</si>
  <si>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</si>
  <si>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</si>
  <si>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</si>
  <si>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</si>
  <si>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</si>
  <si>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</si>
  <si>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</si>
  <si>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</si>
  <si>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</si>
  <si>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</si>
  <si>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</si>
  <si>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</si>
  <si>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</si>
  <si>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</si>
  <si>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</si>
  <si>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</si>
  <si>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</si>
  <si>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</si>
  <si>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</si>
  <si>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</si>
  <si>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</si>
  <si>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</si>
  <si>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</si>
  <si>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</si>
  <si>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</si>
  <si>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</si>
  <si>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</si>
  <si>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</si>
  <si>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</si>
  <si>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</si>
  <si>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</si>
  <si>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</si>
  <si>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</si>
  <si>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</si>
  <si>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</si>
  <si>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</si>
  <si>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</si>
  <si>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</si>
  <si>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</si>
  <si>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</si>
  <si>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</si>
  <si>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</si>
  <si>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</si>
  <si>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</si>
  <si>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</si>
  <si>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</si>
  <si>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</si>
  <si>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</si>
  <si>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</si>
  <si>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</si>
  <si>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</si>
  <si>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</si>
  <si>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</si>
  <si>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</si>
  <si>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</si>
  <si>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</si>
  <si>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</si>
  <si>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</si>
  <si>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</si>
  <si>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</si>
  <si>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</si>
  <si>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</si>
  <si>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</si>
  <si>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</si>
  <si>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</si>
  <si>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</si>
  <si>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</si>
  <si>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</si>
  <si>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</si>
  <si>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</si>
  <si>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</si>
  <si>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</si>
  <si>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</si>
  <si>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</si>
  <si>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</si>
  <si>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</si>
  <si>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</si>
  <si>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</si>
  <si>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</si>
  <si>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</si>
  <si>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</si>
  <si>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</si>
  <si>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</si>
  <si>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</si>
  <si>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</si>
  <si>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</si>
  <si>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</si>
  <si>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</si>
  <si>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</si>
  <si>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</si>
  <si>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</si>
  <si>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</si>
  <si>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</si>
  <si>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</si>
  <si>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</si>
  <si>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</si>
  <si>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</si>
  <si>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</si>
  <si>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</si>
  <si>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</si>
  <si>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</si>
  <si>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</si>
  <si>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</si>
  <si>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</si>
  <si>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</si>
  <si>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</si>
  <si>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</si>
  <si>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</si>
  <si>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</si>
  <si>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</si>
  <si>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</si>
  <si>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</si>
  <si>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</si>
  <si>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</si>
  <si>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</si>
  <si>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</si>
  <si>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</si>
  <si>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</si>
  <si>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</si>
  <si>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</si>
  <si>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</si>
  <si>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</si>
  <si>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</si>
  <si>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</si>
  <si>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</si>
  <si>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</si>
  <si>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</si>
  <si>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</si>
  <si>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</si>
  <si>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</si>
  <si>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</si>
  <si>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</si>
  <si>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</si>
  <si>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</si>
  <si>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</si>
  <si>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</si>
  <si>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</si>
  <si>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</si>
  <si>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</si>
  <si>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</si>
  <si>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</si>
  <si>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</si>
  <si>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</si>
  <si>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</si>
  <si>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</si>
  <si>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</si>
  <si>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</si>
  <si>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</si>
  <si>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</si>
  <si>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</si>
  <si>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</si>
  <si>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</si>
  <si>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</si>
  <si>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</si>
  <si>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</si>
  <si>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</si>
  <si>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</si>
  <si>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</si>
  <si>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</si>
  <si>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</si>
  <si>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</si>
  <si>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</si>
  <si>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</si>
  <si>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</si>
  <si>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</si>
  <si>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</si>
  <si>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</si>
  <si>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</si>
  <si>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</si>
  <si>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</si>
  <si>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</si>
  <si>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</si>
  <si>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</si>
  <si>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</si>
  <si>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</si>
  <si>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</si>
  <si>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</si>
  <si>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</si>
  <si>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</si>
  <si>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</si>
  <si>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</si>
  <si>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</si>
  <si>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</si>
  <si>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</si>
  <si>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</si>
  <si>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</si>
  <si>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</si>
  <si>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</si>
  <si>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</si>
  <si>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</si>
  <si>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</si>
  <si>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</si>
  <si>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</si>
  <si>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</si>
  <si>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</si>
  <si>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</si>
  <si>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</si>
  <si>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</si>
  <si>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</si>
  <si>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</si>
  <si>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</si>
  <si>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</si>
  <si>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</si>
  <si>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</si>
  <si>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</si>
  <si>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</si>
  <si>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</si>
  <si>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</si>
  <si>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</si>
  <si>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</si>
  <si>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</si>
  <si>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</si>
  <si>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</si>
  <si>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</si>
  <si>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</si>
  <si>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</si>
  <si>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</si>
  <si>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</si>
  <si>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</si>
  <si>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</si>
  <si>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</si>
  <si>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</si>
  <si>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</si>
  <si>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</si>
  <si>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</si>
  <si>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</si>
  <si>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</si>
  <si>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</si>
  <si>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</si>
  <si>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</si>
  <si>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</si>
  <si>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</si>
  <si>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</si>
  <si>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</si>
  <si>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</si>
  <si>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</si>
  <si>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</si>
  <si>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</si>
  <si>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</si>
  <si>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</si>
  <si>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</si>
  <si>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</si>
  <si>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</si>
  <si>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</si>
  <si>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</si>
  <si>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</si>
  <si>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</si>
  <si>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</si>
  <si>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</si>
  <si>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</si>
  <si>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</si>
  <si>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</si>
  <si>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</si>
  <si>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</si>
  <si>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</si>
  <si>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</si>
  <si>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</si>
  <si>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</si>
  <si>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</si>
  <si>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</si>
  <si>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</si>
  <si>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</si>
  <si>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</si>
  <si>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</si>
  <si>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</si>
  <si>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</si>
  <si>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</si>
  <si>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</si>
  <si>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</si>
  <si>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</si>
  <si>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</si>
  <si>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</si>
  <si>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</si>
  <si>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</si>
  <si>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</si>
  <si>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</si>
  <si>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</si>
  <si>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</si>
  <si>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</si>
  <si>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</si>
  <si>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</si>
  <si>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</si>
  <si>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</si>
  <si>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</si>
  <si>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</si>
  <si>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</si>
  <si>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</si>
  <si>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</si>
  <si>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</si>
  <si>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</si>
  <si>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</si>
  <si>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</si>
  <si>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</si>
  <si>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</si>
  <si>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</si>
  <si>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</si>
  <si>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</si>
  <si>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</si>
  <si>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</si>
  <si>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</si>
  <si>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</si>
  <si>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</si>
  <si>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</si>
  <si>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</si>
  <si>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</si>
  <si>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</si>
  <si>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</si>
  <si>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</si>
  <si>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</si>
  <si>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</si>
  <si>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</si>
  <si>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</si>
  <si>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</si>
  <si>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</si>
  <si>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</si>
  <si>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</si>
  <si>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</si>
  <si>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</si>
  <si>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</si>
  <si>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</si>
  <si>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</si>
  <si>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</si>
  <si>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</si>
  <si>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</si>
  <si>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</si>
  <si>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</si>
  <si>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</si>
  <si>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</si>
  <si>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</si>
  <si>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</si>
  <si>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</si>
  <si>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</si>
  <si>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</si>
  <si>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</si>
  <si>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</si>
  <si>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</si>
  <si>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</si>
  <si>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</si>
  <si>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</si>
  <si>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</si>
  <si>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</si>
  <si>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</si>
  <si>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</si>
  <si>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</si>
  <si>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</si>
  <si>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</si>
  <si>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</si>
  <si>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</si>
  <si>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</si>
  <si>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</si>
  <si>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</si>
  <si>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</si>
  <si>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</si>
  <si>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</si>
  <si>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</si>
  <si>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</si>
  <si>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</si>
  <si>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</si>
  <si>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</si>
  <si>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</si>
  <si>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</si>
  <si>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</si>
  <si>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</si>
  <si>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</si>
  <si>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</si>
  <si>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</si>
  <si>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</si>
  <si>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</si>
  <si>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</si>
  <si>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</si>
  <si>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</si>
  <si>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</si>
  <si>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</si>
  <si>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</si>
  <si>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</si>
  <si>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</si>
  <si>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</si>
  <si>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</si>
  <si>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</si>
  <si>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</si>
  <si>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</si>
  <si>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</si>
  <si>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</si>
  <si>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</si>
  <si>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</si>
  <si>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</si>
  <si>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</si>
  <si>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</si>
  <si>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</si>
  <si>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</si>
  <si>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</si>
  <si>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</si>
  <si>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</si>
  <si>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</si>
  <si>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</si>
  <si>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</si>
  <si>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</si>
  <si>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</si>
  <si>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</si>
  <si>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</si>
  <si>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</si>
  <si>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</si>
  <si>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</si>
  <si>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</si>
  <si>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</si>
  <si>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</si>
  <si>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</si>
  <si>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</si>
  <si>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</si>
  <si>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</si>
  <si>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</si>
  <si>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</si>
  <si>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</si>
  <si>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</si>
  <si>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</si>
  <si>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</si>
  <si>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</si>
  <si>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</si>
  <si>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</si>
  <si>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</si>
  <si>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</si>
  <si>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</si>
  <si>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</si>
  <si>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</si>
  <si>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</si>
  <si>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</si>
  <si>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</si>
  <si>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</si>
  <si>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</si>
  <si>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</si>
  <si>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</si>
  <si>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</si>
  <si>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</si>
  <si>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</si>
  <si>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</si>
  <si>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</si>
  <si>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</si>
  <si>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</si>
  <si>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</si>
  <si>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</si>
  <si>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</si>
  <si>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</si>
  <si>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</si>
  <si>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</si>
  <si>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</si>
  <si>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</si>
  <si>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</si>
  <si>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</si>
  <si>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</si>
  <si>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</si>
  <si>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</si>
  <si>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</si>
  <si>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</si>
  <si>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</si>
  <si>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</si>
  <si>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</si>
  <si>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</si>
  <si>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</si>
  <si>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</si>
  <si>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</si>
  <si>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</si>
  <si>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</si>
  <si>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</si>
  <si>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</si>
  <si>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</si>
  <si>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</si>
  <si>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</si>
  <si>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</si>
  <si>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</si>
  <si>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</si>
  <si>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</si>
  <si>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</si>
  <si>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</si>
  <si>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</si>
  <si>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</si>
  <si>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</si>
  <si>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</si>
  <si>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</si>
  <si>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</si>
  <si>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</si>
  <si>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</si>
  <si>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</si>
  <si>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</si>
  <si>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</si>
  <si>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</si>
  <si>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</si>
  <si>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</si>
  <si>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</si>
  <si>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</si>
  <si>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</si>
  <si>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</si>
  <si>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</si>
  <si>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</si>
  <si>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</si>
  <si>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</si>
  <si>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</si>
  <si>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</si>
  <si>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</si>
  <si>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</si>
  <si>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</si>
  <si>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</si>
  <si>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</si>
  <si>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</si>
  <si>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</si>
  <si>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</si>
  <si>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</si>
  <si>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</si>
  <si>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</si>
  <si>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</si>
  <si>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</si>
  <si>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</si>
  <si>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</si>
  <si>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</si>
  <si>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</si>
  <si>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</si>
  <si>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</si>
  <si>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</si>
  <si>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</si>
  <si>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</si>
  <si>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</si>
  <si>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</si>
  <si>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</si>
  <si>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</si>
  <si>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</si>
  <si>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</si>
  <si>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</si>
  <si>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</si>
  <si>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</si>
  <si>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</si>
  <si>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</si>
  <si>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</si>
  <si>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</si>
  <si>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</si>
  <si>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</si>
  <si>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</si>
  <si>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</si>
  <si>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</si>
  <si>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</si>
  <si>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</si>
  <si>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</si>
  <si>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</si>
  <si>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</si>
  <si>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</si>
  <si>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</si>
  <si>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</si>
  <si>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</si>
  <si>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</si>
  <si>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</si>
  <si>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</si>
  <si>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</si>
  <si>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</si>
  <si>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</si>
  <si>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</si>
  <si>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</si>
  <si>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</si>
  <si>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</si>
  <si>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</si>
  <si>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</si>
  <si>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</si>
  <si>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</si>
  <si>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</si>
  <si>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</si>
  <si>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</si>
  <si>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</si>
  <si>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</si>
  <si>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</si>
  <si>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</si>
  <si>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</si>
  <si>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</si>
  <si>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</si>
  <si>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</si>
  <si>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</si>
  <si>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</si>
  <si>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</si>
  <si>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</si>
  <si>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</si>
  <si>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</si>
  <si>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</si>
  <si>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</si>
  <si>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</si>
  <si>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</si>
  <si>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</si>
  <si>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</si>
  <si>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</si>
  <si>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</si>
  <si>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</si>
  <si>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</si>
  <si>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</si>
  <si>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</si>
  <si>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</si>
  <si>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</si>
  <si>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</si>
  <si>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</si>
  <si>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</si>
  <si>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</si>
  <si>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</si>
  <si>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</si>
  <si>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</si>
  <si>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</si>
  <si>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</si>
  <si>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</si>
  <si>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</si>
  <si>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</si>
  <si>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</si>
  <si>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</si>
  <si>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</si>
  <si>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</si>
  <si>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</si>
  <si>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</si>
  <si>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</si>
  <si>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</si>
  <si>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</si>
  <si>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</si>
  <si>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</si>
  <si>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</si>
  <si>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</si>
  <si>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</si>
  <si>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</si>
  <si>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</si>
  <si>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</si>
  <si>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</si>
  <si>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</si>
  <si>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</si>
  <si>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</si>
  <si>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</si>
  <si>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</si>
  <si>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</si>
  <si>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</si>
  <si>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</si>
  <si>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</si>
  <si>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</si>
  <si>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</si>
  <si>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</si>
  <si>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</si>
  <si>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</si>
  <si>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</si>
  <si>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</si>
  <si>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</si>
  <si>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</si>
  <si>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</si>
  <si>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</si>
  <si>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</si>
  <si>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</si>
  <si>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</si>
  <si>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</si>
  <si>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</si>
  <si>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</si>
  <si>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</si>
  <si>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</si>
  <si>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</si>
  <si>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</si>
  <si>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</si>
  <si>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</si>
  <si>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</si>
  <si>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</si>
  <si>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</si>
  <si>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</si>
  <si>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</si>
  <si>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</si>
  <si>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</si>
  <si>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</si>
  <si>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</si>
  <si>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</si>
  <si>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</si>
  <si>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</si>
  <si>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</si>
  <si>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</si>
  <si>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</si>
  <si>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</si>
  <si>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</si>
  <si>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</si>
  <si>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</si>
  <si>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</si>
  <si>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</si>
  <si>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</si>
  <si>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</si>
  <si>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</si>
  <si>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</si>
  <si>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</si>
  <si>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</si>
  <si>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</si>
  <si>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</si>
  <si>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</si>
  <si>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</si>
  <si>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</si>
  <si>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</si>
  <si>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</si>
  <si>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</si>
  <si>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</si>
  <si>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</si>
  <si>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</si>
  <si>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</si>
  <si>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</si>
  <si>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</si>
  <si>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</si>
  <si>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</si>
  <si>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</si>
  <si>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</si>
  <si>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</si>
  <si>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</si>
  <si>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</si>
  <si>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</si>
  <si>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</si>
  <si>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</si>
  <si>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</si>
  <si>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</si>
  <si>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</si>
  <si>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</si>
  <si>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</si>
  <si>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</si>
  <si>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</si>
  <si>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</si>
  <si>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</si>
  <si>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</si>
  <si>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</si>
  <si>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</si>
  <si>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</si>
  <si>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</si>
  <si>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</si>
  <si>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</si>
  <si>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</si>
  <si>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</si>
  <si>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</si>
  <si>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</si>
  <si>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</si>
  <si>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</si>
  <si>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</si>
  <si>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</si>
  <si>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</si>
  <si>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</si>
  <si>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</si>
  <si>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</si>
  <si>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</si>
  <si>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</si>
  <si>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</si>
  <si>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</si>
  <si>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</si>
  <si>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</si>
  <si>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</si>
  <si>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</si>
  <si>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</si>
  <si>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</si>
  <si>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</si>
  <si>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</si>
  <si>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</si>
  <si>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</si>
  <si>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</si>
  <si>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</si>
  <si>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</si>
  <si>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</si>
  <si>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</si>
  <si>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</si>
  <si>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</si>
  <si>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</si>
  <si>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</si>
  <si>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</si>
  <si>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</si>
  <si>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</si>
  <si>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</si>
  <si>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</si>
  <si>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</si>
  <si>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</si>
  <si>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</si>
  <si>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</si>
  <si>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</si>
  <si>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</si>
  <si>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</si>
  <si>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</si>
  <si>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</si>
  <si>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</si>
  <si>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</si>
  <si>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</si>
  <si>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</si>
  <si>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</si>
  <si>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</si>
  <si>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</si>
  <si>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</si>
  <si>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</si>
  <si>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</si>
  <si>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</si>
  <si>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</si>
  <si>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</si>
  <si>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</si>
  <si>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</si>
  <si>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</si>
  <si>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</si>
  <si>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</si>
  <si>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</si>
  <si>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</si>
  <si>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</si>
  <si>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</si>
  <si>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</si>
  <si>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</si>
  <si>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</si>
  <si>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</si>
  <si>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</si>
  <si>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</si>
  <si>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</si>
  <si>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</si>
  <si>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</si>
  <si>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</si>
  <si>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</si>
  <si>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</si>
  <si>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</si>
  <si>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</si>
  <si>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</si>
  <si>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</si>
  <si>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</si>
  <si>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</si>
  <si>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</si>
  <si>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</si>
  <si>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</si>
  <si>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</si>
  <si>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</si>
  <si>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</si>
  <si>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</si>
  <si>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</si>
  <si>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</si>
  <si>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</si>
  <si>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</si>
  <si>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</si>
  <si>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</si>
  <si>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</si>
  <si>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</si>
  <si>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</si>
  <si>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</si>
  <si>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</si>
  <si>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</si>
  <si>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</si>
  <si>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</si>
  <si>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</si>
  <si>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</si>
  <si>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</si>
  <si>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</si>
  <si>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</si>
  <si>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</si>
  <si>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</si>
  <si>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</si>
  <si>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</si>
  <si>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</si>
  <si>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</si>
  <si>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</si>
  <si>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</si>
  <si>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</si>
  <si>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</si>
  <si>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</si>
  <si>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</si>
  <si>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</si>
  <si>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</si>
  <si>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</si>
  <si>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</si>
  <si>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</si>
  <si>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</si>
  <si>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</si>
  <si>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</si>
  <si>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</si>
  <si>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</si>
  <si>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</si>
  <si>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</si>
  <si>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</si>
  <si>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</si>
  <si>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</si>
  <si>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</si>
  <si>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</si>
  <si>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</si>
  <si>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</si>
  <si>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</si>
  <si>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</si>
  <si>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</si>
  <si>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</si>
  <si>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</si>
  <si>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</si>
  <si>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</si>
  <si>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</si>
  <si>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</si>
  <si>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</si>
  <si>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</si>
  <si>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</si>
  <si>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</si>
  <si>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</si>
  <si>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</si>
  <si>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</si>
  <si>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</si>
  <si>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</si>
  <si>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</si>
  <si>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</si>
  <si>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</si>
  <si>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</si>
  <si>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</si>
  <si>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</si>
  <si>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</si>
  <si>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</si>
  <si>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</si>
  <si>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</si>
  <si>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</si>
  <si>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</si>
  <si>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</si>
  <si>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</si>
  <si>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</si>
  <si>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</si>
  <si>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</si>
  <si>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</si>
  <si>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</si>
  <si>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</si>
  <si>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</si>
  <si>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</si>
  <si>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</si>
  <si>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</si>
  <si>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</si>
  <si>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</si>
  <si>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</si>
  <si>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</si>
  <si>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</si>
  <si>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</si>
  <si>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</si>
  <si>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</si>
  <si>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</si>
  <si>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</si>
  <si>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</si>
  <si>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</si>
  <si>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</si>
  <si>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</si>
  <si>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</si>
  <si>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</si>
  <si>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</si>
  <si>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</si>
  <si>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</si>
  <si>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</si>
  <si>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</si>
  <si>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</si>
  <si>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</si>
  <si>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</si>
  <si>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</si>
  <si>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</si>
  <si>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</si>
  <si>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</si>
  <si>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</si>
  <si>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</si>
  <si>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</si>
  <si>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</si>
  <si>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</si>
  <si>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</si>
  <si>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</si>
  <si>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</si>
  <si>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</si>
  <si>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</si>
  <si>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</si>
  <si>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</si>
  <si>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</si>
  <si>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</si>
  <si>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</si>
  <si>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</si>
  <si>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</si>
  <si>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</si>
  <si>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</si>
  <si>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</si>
  <si>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</si>
  <si>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</si>
  <si>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</si>
  <si>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</si>
  <si>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</si>
  <si>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</si>
  <si>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</si>
  <si>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</si>
  <si>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</si>
  <si>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</si>
  <si>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</si>
  <si>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</si>
  <si>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</si>
  <si>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</si>
  <si>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</si>
  <si>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</si>
  <si>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</si>
  <si>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</si>
  <si>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</si>
  <si>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</si>
  <si>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</si>
  <si>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</si>
  <si>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</si>
  <si>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</si>
  <si>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</si>
  <si>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</si>
  <si>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</si>
  <si>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</si>
  <si>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</si>
  <si>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</si>
  <si>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</si>
  <si>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</si>
  <si>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</si>
  <si>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</si>
  <si>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</si>
  <si>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</si>
  <si>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</si>
  <si>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</si>
  <si>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</si>
  <si>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</si>
  <si>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</si>
  <si>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</si>
  <si>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</si>
  <si>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</si>
  <si>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</si>
  <si>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</si>
  <si>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</si>
  <si>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</si>
  <si>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</si>
  <si>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</si>
  <si>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</si>
  <si>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</si>
  <si>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</si>
  <si>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</si>
  <si>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</si>
  <si>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</si>
  <si>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</si>
  <si>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</si>
  <si>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</si>
  <si>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</si>
  <si>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</si>
  <si>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</si>
  <si>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</si>
  <si>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</si>
  <si>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</si>
  <si>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</si>
  <si>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</si>
  <si>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</si>
  <si>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</si>
  <si>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</si>
  <si>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</si>
  <si>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</si>
  <si>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</si>
  <si>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</si>
  <si>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</si>
  <si>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</si>
  <si>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</si>
  <si>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</si>
  <si>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</si>
  <si>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</si>
  <si>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</si>
  <si>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</si>
  <si>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</si>
  <si>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</si>
  <si>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</si>
  <si>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</si>
  <si>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</si>
  <si>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</si>
  <si>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</si>
  <si>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</si>
  <si>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</si>
  <si>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</si>
  <si>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</si>
  <si>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</si>
  <si>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</si>
  <si>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</si>
  <si>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</si>
  <si>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</si>
  <si>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</si>
  <si>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</si>
  <si>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</si>
  <si>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</si>
  <si>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</si>
  <si>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</si>
  <si>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</si>
  <si>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</si>
  <si>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</si>
  <si>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</si>
  <si>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</si>
  <si>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</si>
  <si>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</si>
  <si>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</si>
  <si>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</si>
  <si>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</si>
  <si>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</si>
  <si>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</si>
  <si>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</si>
  <si>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</si>
  <si>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</si>
  <si>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</si>
  <si>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</si>
  <si>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</si>
  <si>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</si>
  <si>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</si>
  <si>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</si>
  <si>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</si>
  <si>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</si>
  <si>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</si>
  <si>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</si>
  <si>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</si>
  <si>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</si>
  <si>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</si>
  <si>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</si>
  <si>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</si>
  <si>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</si>
  <si>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</si>
  <si>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</si>
  <si>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</si>
  <si>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</si>
  <si>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</si>
  <si>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</si>
  <si>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</si>
  <si>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</si>
  <si>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</si>
  <si>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</si>
  <si>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</si>
  <si>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</si>
  <si>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</si>
  <si>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</si>
  <si>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</si>
  <si>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</si>
  <si>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</si>
  <si>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</si>
  <si>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</si>
  <si>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</si>
  <si>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</si>
  <si>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</si>
  <si>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</si>
  <si>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</si>
  <si>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</si>
  <si>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</si>
  <si>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</si>
  <si>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</si>
  <si>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</si>
  <si>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</si>
  <si>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</si>
  <si>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</si>
  <si>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</si>
  <si>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</si>
  <si>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</si>
  <si>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</si>
  <si>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</si>
  <si>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</si>
  <si>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</si>
  <si>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</si>
  <si>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</si>
  <si>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</si>
  <si>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</si>
  <si>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</si>
  <si>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</si>
  <si>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</si>
  <si>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</si>
  <si>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</si>
  <si>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</si>
  <si>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</si>
  <si>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</si>
  <si>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</si>
  <si>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</si>
  <si>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</si>
  <si>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</si>
  <si>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</si>
  <si>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</si>
  <si>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</si>
  <si>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</si>
  <si>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</si>
  <si>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</si>
  <si>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</si>
  <si>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</si>
  <si>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</si>
  <si>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</si>
  <si>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</si>
  <si>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</si>
  <si>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</si>
  <si>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</si>
  <si>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</si>
  <si>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</si>
  <si>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</si>
  <si>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</si>
  <si>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</si>
  <si>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</si>
  <si>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</si>
  <si>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</si>
  <si>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</si>
  <si>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</si>
  <si>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</si>
  <si>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</si>
  <si>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</si>
  <si>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</si>
  <si>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</si>
  <si>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</si>
  <si>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</si>
  <si>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</si>
  <si>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</si>
  <si>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</si>
  <si>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</si>
  <si>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</si>
  <si>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</si>
  <si>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</si>
  <si>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</si>
  <si>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</si>
  <si>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</si>
  <si>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</si>
  <si>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</si>
  <si>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</si>
  <si>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</si>
  <si>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</si>
  <si>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</si>
  <si>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</si>
  <si>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</si>
  <si>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</si>
  <si>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</si>
  <si>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</si>
  <si>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</si>
  <si>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</si>
  <si>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</si>
  <si>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</si>
  <si>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</si>
  <si>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</si>
  <si>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</si>
  <si>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</si>
  <si>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</si>
  <si>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</si>
  <si>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</si>
  <si>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</si>
  <si>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</si>
  <si>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</si>
  <si>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</si>
  <si>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</si>
  <si>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</si>
  <si>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</si>
  <si>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</si>
  <si>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</si>
  <si>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</si>
  <si>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</si>
  <si>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</si>
  <si>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</si>
  <si>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</si>
  <si>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</si>
  <si>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</si>
  <si>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</si>
  <si>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</si>
  <si>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</si>
  <si>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</si>
  <si>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</si>
  <si>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</si>
  <si>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</si>
  <si>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</si>
  <si>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</si>
  <si>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</si>
  <si>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</si>
  <si>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</si>
  <si>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</si>
  <si>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</si>
  <si>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</si>
  <si>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</si>
  <si>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</si>
  <si>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</si>
  <si>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</si>
  <si>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</si>
  <si>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</si>
  <si>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</si>
  <si>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</si>
  <si>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</si>
  <si>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</si>
  <si>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</si>
  <si>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</si>
  <si>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</si>
  <si>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</si>
  <si>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</si>
  <si>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</si>
  <si>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</si>
  <si>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</si>
  <si>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</si>
  <si>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</si>
  <si>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</si>
  <si>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</si>
  <si>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</si>
  <si>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</si>
  <si>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</si>
  <si>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</si>
  <si>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</si>
  <si>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</si>
  <si>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</si>
  <si>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</si>
  <si>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</si>
  <si>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</si>
  <si>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</si>
  <si>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</si>
  <si>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</si>
  <si>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</si>
  <si>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</si>
  <si>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</si>
  <si>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</si>
  <si>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</si>
  <si>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</si>
  <si>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</si>
  <si>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</si>
  <si>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</si>
  <si>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</si>
  <si>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</si>
  <si>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</si>
  <si>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</si>
  <si>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</si>
  <si>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</si>
  <si>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</si>
  <si>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</si>
  <si>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</si>
  <si>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</si>
  <si>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</si>
  <si>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</si>
  <si>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</si>
  <si>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</si>
  <si>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</si>
  <si>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</si>
  <si>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</si>
  <si>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</si>
  <si>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</si>
  <si>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</si>
  <si>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</si>
  <si>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</si>
  <si>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</si>
  <si>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</si>
  <si>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</si>
  <si>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</si>
  <si>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</si>
  <si>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</si>
  <si>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</si>
  <si>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</si>
  <si>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</si>
  <si>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</si>
  <si>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</si>
  <si>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</si>
  <si>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</si>
  <si>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</si>
  <si>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</si>
  <si>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</si>
  <si>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</si>
  <si>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</si>
  <si>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</si>
  <si>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</si>
  <si>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</si>
  <si>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</si>
  <si>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</si>
  <si>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</si>
  <si>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</si>
  <si>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</si>
  <si>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</si>
  <si>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</si>
  <si>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</si>
  <si>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</si>
  <si>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</si>
  <si>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</si>
  <si>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</si>
  <si>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</si>
  <si>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</si>
  <si>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</si>
  <si>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</si>
  <si>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</si>
  <si>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</si>
  <si>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</si>
  <si>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</si>
  <si>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</si>
  <si>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</si>
  <si>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</si>
  <si>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</si>
  <si>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</si>
  <si>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</si>
  <si>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</si>
  <si>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</si>
  <si>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</si>
  <si>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</si>
  <si>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</si>
  <si>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</si>
  <si>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</si>
  <si>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</si>
  <si>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</si>
  <si>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</si>
  <si>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</si>
  <si>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</si>
  <si>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</si>
  <si>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</si>
  <si>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</si>
  <si>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</si>
  <si>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</si>
  <si>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</si>
  <si>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</si>
  <si>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</si>
  <si>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</si>
  <si>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</si>
  <si>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</si>
  <si>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</si>
  <si>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</si>
  <si>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</si>
  <si>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</si>
  <si>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</si>
  <si>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</si>
  <si>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</si>
  <si>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</si>
  <si>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</si>
  <si>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</si>
  <si>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</si>
  <si>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</si>
  <si>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</si>
  <si>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</si>
  <si>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</si>
  <si>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</si>
  <si>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</si>
  <si>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</si>
  <si>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</si>
  <si>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</si>
  <si>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</si>
  <si>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</si>
  <si>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</si>
  <si>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</si>
  <si>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</si>
  <si>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</si>
  <si>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</si>
  <si>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</si>
  <si>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</si>
  <si>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</si>
  <si>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</si>
  <si>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</si>
  <si>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</si>
  <si>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</si>
  <si>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</si>
  <si>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</si>
  <si>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</si>
  <si>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</si>
  <si>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</si>
  <si>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</si>
  <si>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</si>
  <si>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</si>
  <si>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</si>
  <si>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</si>
  <si>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</si>
  <si>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</si>
  <si>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</si>
  <si>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</si>
  <si>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</si>
  <si>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</si>
  <si>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</si>
  <si>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</si>
  <si>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</si>
  <si>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</si>
  <si>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</si>
  <si>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</si>
  <si>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</si>
  <si>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</si>
  <si>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</si>
  <si>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</si>
  <si>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</si>
  <si>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</si>
  <si>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</si>
  <si>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</si>
  <si>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</si>
  <si>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</si>
  <si>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</si>
  <si>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</si>
  <si>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</si>
  <si>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</si>
  <si>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</si>
  <si>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</si>
  <si>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</si>
  <si>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</si>
  <si>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</si>
  <si>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</si>
  <si>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</si>
  <si>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</si>
  <si>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</si>
  <si>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</si>
  <si>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</si>
  <si>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</si>
  <si>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</si>
  <si>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</si>
  <si>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</si>
  <si>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</si>
  <si>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</si>
  <si>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</si>
  <si>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</si>
  <si>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</si>
  <si>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</si>
  <si>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</si>
  <si>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</si>
  <si>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</si>
  <si>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</si>
  <si>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</si>
  <si>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</si>
  <si>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</si>
  <si>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</si>
  <si>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</si>
  <si>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</si>
  <si>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</si>
  <si>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</si>
  <si>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</si>
  <si>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</si>
  <si>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</si>
  <si>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</si>
  <si>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</si>
  <si>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</si>
  <si>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</si>
  <si>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</si>
  <si>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</si>
  <si>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</si>
  <si>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</si>
  <si>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</si>
  <si>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</si>
  <si>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</si>
  <si>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</si>
  <si>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</si>
  <si>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</si>
  <si>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</si>
  <si>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</si>
  <si>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</si>
  <si>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</si>
  <si>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</si>
  <si>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</si>
  <si>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</si>
  <si>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</si>
  <si>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</si>
  <si>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</si>
  <si>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</si>
  <si>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</si>
  <si>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</si>
  <si>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</si>
  <si>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</si>
  <si>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</si>
  <si>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</si>
  <si>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</si>
  <si>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</si>
  <si>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</si>
  <si>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</si>
  <si>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</si>
  <si>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</si>
  <si>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</si>
  <si>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</si>
  <si>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</si>
  <si>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</si>
  <si>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</si>
  <si>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</si>
  <si>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</si>
  <si>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</si>
  <si>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</si>
  <si>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</si>
  <si>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</si>
  <si>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</si>
  <si>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</si>
  <si>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</si>
  <si>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</si>
  <si>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</si>
  <si>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</si>
  <si>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</si>
  <si>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</si>
  <si>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</si>
  <si>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</si>
  <si>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</si>
  <si>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</si>
  <si>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</si>
  <si>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</si>
  <si>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</si>
  <si>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</si>
  <si>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</si>
  <si>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</si>
  <si>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</si>
  <si>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</si>
  <si>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</si>
  <si>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</si>
  <si>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</si>
  <si>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</si>
  <si>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</si>
  <si>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</si>
  <si>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</si>
  <si>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</si>
  <si>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</si>
  <si>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</si>
  <si>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</si>
  <si>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</si>
  <si>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</si>
  <si>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</si>
  <si>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</si>
  <si>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</si>
  <si>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</si>
  <si>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</si>
  <si>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</si>
  <si>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</si>
  <si>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</si>
  <si>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</si>
  <si>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</si>
  <si>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</si>
  <si>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</si>
  <si>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</si>
  <si>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</si>
  <si>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</si>
  <si>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</si>
  <si>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</si>
  <si>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</si>
  <si>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</si>
  <si>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</si>
  <si>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</si>
  <si>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</si>
  <si>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</si>
  <si>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</si>
  <si>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</si>
  <si>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</si>
  <si>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</si>
  <si>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</si>
  <si>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</si>
  <si>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</si>
  <si>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</si>
  <si>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</si>
  <si>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</si>
  <si>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</si>
  <si>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</si>
  <si>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</si>
  <si>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</si>
  <si>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</si>
  <si>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</si>
  <si>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</si>
  <si>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</si>
  <si>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</si>
  <si>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</si>
  <si>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</si>
  <si>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</si>
  <si>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</si>
  <si>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</si>
  <si>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</si>
  <si>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</si>
  <si>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</si>
  <si>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</si>
  <si>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</si>
  <si>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</si>
  <si>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</si>
  <si>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</si>
  <si>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</si>
  <si>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</si>
  <si>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</si>
  <si>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</si>
  <si>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</si>
  <si>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</si>
  <si>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</si>
  <si>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</si>
  <si>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</si>
  <si>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</si>
  <si>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</si>
  <si>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</si>
  <si>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</si>
  <si>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</si>
  <si>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</si>
  <si>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</si>
  <si>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</si>
  <si>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</si>
  <si>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</si>
  <si>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</si>
  <si>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</si>
  <si>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</si>
  <si>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</si>
  <si>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</si>
  <si>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</si>
  <si>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</si>
  <si>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</si>
  <si>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</si>
  <si>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</si>
  <si>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</si>
  <si>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</si>
  <si>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</si>
  <si>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</si>
  <si>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</si>
  <si>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</si>
  <si>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</si>
  <si>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</si>
  <si>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</si>
  <si>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</si>
  <si>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</si>
  <si>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</si>
  <si>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</si>
  <si>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</si>
  <si>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</si>
  <si>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</si>
  <si>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</si>
  <si>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</si>
  <si>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</si>
  <si>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</si>
  <si>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</si>
  <si>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</si>
  <si>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</si>
  <si>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</si>
  <si>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</si>
  <si>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</si>
  <si>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</si>
  <si>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</si>
  <si>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</si>
  <si>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</si>
  <si>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</si>
  <si>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</si>
  <si>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</si>
  <si>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</si>
  <si>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</si>
  <si>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</si>
  <si>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</si>
  <si>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</si>
  <si>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</si>
  <si>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</si>
  <si>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</si>
  <si>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</si>
  <si>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</si>
  <si>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</si>
  <si>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</si>
  <si>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</si>
  <si>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</si>
  <si>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</si>
  <si>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</si>
  <si>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</si>
  <si>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</si>
  <si>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</si>
  <si>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</si>
  <si>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</si>
  <si>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</si>
  <si>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</si>
  <si>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</si>
  <si>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</si>
  <si>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</si>
  <si>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</si>
  <si>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</si>
  <si>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</si>
  <si>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</si>
  <si>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</si>
  <si>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</si>
  <si>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</si>
  <si>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</si>
  <si>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</si>
  <si>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</si>
  <si>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</si>
  <si>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</si>
  <si>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</si>
  <si>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</si>
  <si>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</si>
  <si>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</si>
  <si>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</si>
  <si>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</si>
  <si>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</si>
  <si>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</si>
  <si>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</si>
  <si>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</si>
  <si>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</si>
  <si>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</si>
  <si>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</si>
  <si>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</si>
  <si>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</si>
  <si>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</si>
  <si>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</si>
  <si>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</si>
  <si>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</si>
  <si>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</si>
  <si>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</si>
  <si>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</si>
  <si>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</si>
  <si>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</si>
  <si>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</si>
  <si>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</si>
  <si>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</si>
  <si>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</si>
  <si>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</si>
  <si>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</si>
  <si>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</si>
  <si>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</si>
  <si>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</si>
  <si>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</si>
  <si>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</si>
  <si>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</si>
  <si>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</si>
  <si>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</si>
  <si>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</si>
  <si>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</si>
  <si>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</si>
  <si>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</si>
  <si>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</si>
  <si>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</si>
  <si>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</si>
  <si>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</si>
  <si>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</si>
  <si>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</si>
  <si>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</si>
  <si>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</si>
  <si>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</si>
  <si>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</si>
  <si>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</si>
  <si>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</si>
  <si>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</si>
  <si>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</si>
  <si>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</si>
  <si>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</si>
  <si>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</si>
  <si>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</si>
  <si>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</si>
  <si>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</si>
  <si>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</si>
  <si>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</si>
  <si>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</si>
  <si>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</si>
  <si>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</si>
  <si>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</si>
  <si>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</si>
  <si>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</si>
  <si>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</si>
  <si>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</si>
  <si>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</si>
  <si>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</si>
  <si>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</si>
  <si>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</si>
  <si>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</si>
  <si>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</si>
  <si>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</si>
  <si>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</si>
  <si>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</si>
  <si>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</si>
  <si>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</si>
  <si>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</si>
  <si>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</si>
  <si>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</si>
  <si>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</si>
  <si>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</si>
  <si>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</si>
  <si>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</si>
  <si>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</si>
  <si>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</si>
  <si>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</si>
  <si>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</si>
  <si>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</si>
  <si>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</si>
  <si>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</si>
  <si>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</si>
  <si>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</si>
  <si>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</si>
  <si>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</si>
  <si>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</si>
  <si>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</si>
  <si>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</si>
  <si>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</si>
  <si>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</si>
  <si>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</si>
  <si>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</si>
  <si>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</si>
  <si>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</si>
  <si>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</si>
  <si>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</si>
  <si>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</si>
  <si>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</si>
  <si>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</si>
  <si>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</si>
  <si>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</si>
  <si>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</si>
  <si>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</si>
  <si>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</si>
  <si>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</si>
  <si>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</si>
  <si>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</si>
  <si>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</si>
  <si>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</si>
  <si>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</si>
  <si>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</si>
  <si>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</si>
  <si>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</si>
  <si>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</si>
  <si>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</si>
  <si>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</si>
  <si>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</si>
  <si>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</si>
  <si>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</si>
  <si>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</si>
  <si>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</si>
  <si>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</si>
  <si>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</si>
  <si>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</si>
  <si>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</si>
  <si>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</si>
  <si>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</si>
  <si>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</si>
  <si>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</si>
  <si>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</si>
  <si>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</si>
  <si>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</si>
  <si>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</si>
  <si>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</si>
  <si>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</si>
  <si>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</si>
  <si>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</si>
  <si>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</si>
  <si>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</si>
  <si>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</si>
  <si>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</si>
  <si>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</si>
  <si>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</si>
  <si>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</si>
  <si>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</si>
  <si>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</si>
  <si>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</si>
  <si>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</si>
  <si>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</si>
  <si>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</si>
  <si>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</si>
  <si>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</si>
  <si>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</si>
  <si>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</si>
  <si>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</si>
  <si>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</si>
  <si>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</si>
  <si>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</si>
  <si>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</si>
  <si>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</si>
  <si>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</si>
  <si>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</si>
  <si>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</si>
  <si>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</si>
  <si>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</si>
  <si>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</si>
  <si>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</si>
  <si>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</si>
  <si>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</si>
  <si>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</si>
  <si>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</si>
  <si>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</si>
  <si>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</si>
  <si>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</si>
  <si>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</si>
  <si>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</si>
  <si>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</si>
  <si>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</si>
  <si>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</si>
  <si>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</si>
  <si>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</si>
  <si>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</si>
  <si>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</si>
  <si>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</si>
  <si>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</si>
  <si>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</si>
  <si>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</si>
  <si>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</si>
  <si>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</si>
  <si>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</si>
  <si>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</si>
  <si>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</si>
  <si>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</si>
  <si>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</si>
  <si>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</si>
  <si>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</si>
  <si>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</si>
  <si>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</si>
  <si>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</si>
  <si>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</si>
  <si>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</si>
  <si>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</si>
  <si>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</si>
  <si>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</si>
  <si>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</si>
  <si>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</si>
  <si>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</si>
  <si>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</si>
  <si>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</si>
  <si>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</si>
  <si>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</si>
  <si>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</si>
  <si>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</si>
  <si>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</si>
  <si>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</si>
  <si>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</si>
  <si>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</si>
  <si>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</si>
  <si>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</si>
  <si>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</si>
  <si>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</si>
  <si>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</si>
  <si>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</si>
  <si>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</si>
  <si>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</si>
  <si>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</si>
  <si>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</si>
  <si>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</si>
  <si>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</si>
  <si>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</si>
  <si>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</si>
  <si>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</si>
  <si>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</si>
  <si>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</si>
  <si>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</si>
  <si>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</si>
  <si>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</si>
  <si>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</si>
  <si>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</si>
  <si>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</si>
  <si>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</si>
  <si>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</si>
  <si>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</si>
  <si>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</si>
  <si>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</si>
  <si>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</si>
  <si>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</si>
  <si>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</si>
  <si>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</si>
  <si>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</si>
  <si>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</si>
  <si>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</si>
  <si>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</si>
  <si>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</si>
  <si>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</si>
  <si>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</si>
  <si>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</si>
  <si>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</si>
  <si>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</si>
  <si>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</si>
  <si>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</si>
  <si>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</si>
  <si>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</si>
  <si>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</si>
  <si>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</si>
  <si>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</si>
  <si>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</si>
  <si>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</si>
  <si>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</si>
  <si>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</si>
  <si>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</si>
  <si>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</si>
  <si>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</si>
  <si>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</si>
  <si>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</si>
  <si>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</si>
  <si>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</si>
  <si>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</si>
  <si>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</si>
  <si>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</si>
  <si>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</si>
  <si>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</si>
  <si>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</si>
  <si>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</si>
  <si>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</si>
  <si>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</si>
  <si>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</si>
  <si>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</si>
  <si>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</si>
  <si>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</si>
  <si>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</si>
  <si>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</si>
  <si>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</si>
  <si>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</si>
  <si>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</si>
  <si>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</si>
  <si>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</si>
  <si>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</si>
  <si>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</si>
  <si>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</si>
  <si>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</si>
  <si>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</si>
  <si>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</si>
  <si>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</si>
  <si>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</si>
  <si>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</si>
  <si>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</si>
  <si>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</si>
  <si>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</si>
  <si>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</si>
  <si>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</si>
  <si>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</si>
  <si>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</si>
  <si>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</si>
  <si>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</si>
  <si>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</si>
  <si>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</si>
  <si>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</si>
  <si>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</si>
  <si>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</si>
  <si>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</si>
  <si>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</si>
  <si>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</si>
  <si>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</si>
  <si>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</si>
  <si>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</si>
  <si>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</si>
  <si>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</si>
  <si>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</si>
  <si>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</si>
  <si>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</si>
  <si>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</si>
  <si>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</si>
  <si>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</si>
  <si>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</si>
  <si>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</si>
  <si>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</si>
  <si>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</si>
  <si>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</si>
  <si>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</si>
  <si>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</si>
  <si>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</si>
  <si>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</si>
  <si>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</si>
  <si>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</si>
  <si>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</si>
  <si>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</si>
  <si>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</si>
  <si>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</si>
  <si>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</si>
  <si>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</si>
  <si>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</si>
  <si>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</si>
  <si>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</si>
  <si>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</si>
  <si>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</si>
  <si>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</si>
  <si>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</si>
  <si>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</si>
  <si>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</si>
  <si>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</si>
  <si>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</si>
  <si>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</si>
  <si>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</si>
  <si>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</si>
  <si>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</si>
  <si>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</si>
  <si>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</si>
  <si>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</si>
  <si>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</si>
  <si>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</si>
  <si>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</si>
  <si>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</si>
  <si>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</si>
  <si>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</si>
  <si>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</si>
  <si>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</si>
  <si>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</si>
  <si>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</si>
  <si>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</si>
  <si>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</si>
  <si>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</si>
  <si>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</si>
  <si>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</si>
  <si>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</si>
  <si>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</si>
  <si>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</si>
  <si>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</si>
  <si>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</si>
  <si>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</si>
  <si>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</si>
  <si>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</si>
  <si>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</si>
  <si>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</si>
  <si>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</si>
  <si>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</si>
  <si>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</si>
  <si>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</si>
  <si>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</si>
  <si>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</si>
  <si>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</si>
  <si>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</si>
  <si>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</si>
  <si>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</si>
  <si>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</si>
  <si>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</si>
  <si>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</si>
  <si>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</si>
  <si>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</si>
  <si>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</si>
  <si>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</si>
  <si>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</si>
  <si>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</si>
  <si>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</si>
  <si>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</si>
  <si>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</si>
  <si>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</si>
  <si>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</si>
  <si>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</si>
  <si>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</si>
  <si>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</si>
  <si>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</si>
  <si>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</si>
  <si>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</si>
  <si>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</si>
  <si>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</si>
  <si>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</si>
  <si>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</si>
  <si>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</si>
  <si>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</si>
  <si>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</si>
  <si>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</si>
  <si>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</si>
  <si>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</si>
  <si>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</si>
  <si>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</si>
  <si>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</si>
  <si>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</si>
  <si>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</si>
  <si>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</si>
  <si>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</si>
  <si>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</si>
  <si>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</si>
  <si>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</si>
  <si>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</si>
  <si>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</si>
  <si>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</si>
  <si>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</si>
  <si>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</si>
  <si>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</si>
  <si>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</si>
  <si>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</si>
  <si>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</si>
  <si>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</si>
  <si>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</si>
  <si>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</si>
  <si>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</si>
  <si>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</si>
  <si>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</si>
  <si>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</si>
  <si>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</si>
  <si>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</si>
  <si>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</si>
  <si>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</si>
  <si>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</si>
  <si>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</si>
  <si>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</si>
  <si>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</si>
  <si>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</si>
  <si>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</si>
  <si>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</si>
  <si>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</si>
  <si>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</si>
  <si>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</si>
  <si>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</si>
  <si>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</si>
  <si>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</si>
  <si>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</si>
  <si>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</si>
  <si>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</si>
  <si>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</si>
  <si>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</si>
  <si>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</si>
  <si>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</si>
  <si>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</si>
  <si>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</si>
  <si>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</si>
  <si>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</si>
  <si>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</si>
  <si>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</si>
  <si>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</si>
  <si>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</si>
  <si>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</si>
  <si>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</si>
  <si>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</si>
  <si>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</si>
  <si>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</si>
  <si>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</si>
  <si>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</si>
  <si>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</si>
  <si>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</si>
  <si>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</si>
  <si>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</si>
  <si>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</si>
  <si>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</si>
  <si>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</si>
  <si>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</si>
  <si>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</si>
  <si>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</si>
  <si>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</si>
  <si>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</si>
  <si>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</si>
  <si>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</si>
  <si>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</si>
  <si>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</si>
  <si>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</si>
  <si>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</si>
  <si>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</si>
  <si>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</si>
  <si>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</si>
  <si>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</si>
  <si>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</si>
  <si>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</si>
  <si>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</si>
  <si>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</si>
  <si>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</si>
  <si>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</si>
  <si>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</si>
  <si>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</si>
  <si>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</si>
  <si>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</si>
  <si>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</si>
  <si>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</si>
  <si>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</si>
  <si>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</si>
  <si>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</si>
  <si>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</si>
  <si>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</si>
  <si>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</si>
  <si>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</si>
  <si>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</si>
  <si>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</si>
  <si>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</si>
  <si>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</si>
  <si>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</si>
  <si>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</si>
  <si>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</si>
  <si>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</si>
  <si>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</si>
  <si>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</si>
  <si>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</si>
  <si>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</si>
  <si>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</si>
  <si>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</si>
  <si>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</si>
  <si>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</si>
  <si>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</si>
  <si>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</si>
  <si>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</si>
  <si>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</si>
  <si>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</si>
  <si>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</si>
  <si>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</si>
  <si>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</si>
  <si>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</si>
  <si>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</si>
  <si>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</si>
  <si>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</si>
  <si>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</si>
  <si>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</si>
  <si>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</si>
  <si>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</si>
  <si>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</si>
  <si>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</si>
  <si>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</si>
  <si>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</si>
  <si>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</si>
  <si>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</si>
  <si>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</si>
  <si>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</si>
  <si>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</si>
  <si>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</si>
  <si>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</si>
  <si>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</si>
  <si>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</si>
  <si>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</si>
  <si>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</si>
  <si>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</si>
  <si>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</si>
  <si>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</si>
  <si>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</si>
  <si>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</si>
  <si>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</si>
  <si>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</si>
  <si>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</si>
  <si>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</si>
  <si>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</si>
  <si>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</si>
  <si>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</si>
  <si>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</si>
  <si>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</si>
  <si>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</si>
  <si>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</si>
  <si>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</si>
  <si>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</si>
  <si>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</si>
  <si>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</si>
  <si>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</si>
  <si>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</si>
  <si>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</si>
  <si>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</si>
  <si>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</si>
  <si>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</si>
  <si>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</si>
  <si>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</si>
  <si>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</si>
  <si>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</si>
  <si>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</si>
  <si>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</si>
  <si>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</si>
  <si>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</si>
  <si>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</si>
  <si>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</si>
  <si>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</si>
  <si>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</si>
  <si>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</si>
  <si>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</si>
  <si>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</si>
  <si>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</si>
  <si>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</si>
  <si>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</si>
  <si>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</si>
  <si>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</si>
  <si>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</si>
  <si>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</si>
  <si>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</si>
  <si>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</si>
  <si>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</si>
  <si>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</si>
  <si>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</si>
  <si>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</si>
  <si>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</si>
  <si>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</si>
  <si>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</si>
  <si>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</si>
  <si>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</si>
  <si>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</si>
  <si>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</si>
  <si>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</si>
  <si>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</si>
  <si>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</si>
  <si>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</si>
  <si>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</si>
  <si>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</si>
  <si>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</si>
  <si>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</si>
  <si>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</si>
  <si>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</si>
  <si>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</si>
  <si>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</si>
  <si>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</si>
  <si>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</si>
  <si>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</si>
  <si>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</si>
  <si>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</si>
  <si>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</si>
  <si>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</si>
  <si>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</si>
  <si>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</si>
  <si>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</si>
  <si>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</si>
  <si>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</si>
  <si>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</si>
  <si>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</si>
  <si>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</si>
  <si>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</si>
  <si>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</si>
  <si>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</si>
  <si>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</si>
  <si>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</si>
  <si>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</si>
  <si>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</si>
  <si>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</si>
  <si>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</si>
  <si>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</si>
  <si>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</si>
  <si>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</si>
  <si>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</si>
  <si>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</si>
  <si>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</si>
  <si>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</si>
  <si>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</si>
  <si>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</si>
  <si>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</si>
  <si>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</si>
  <si>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</si>
  <si>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</si>
  <si>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</si>
  <si>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</si>
  <si>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</si>
  <si>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</si>
  <si>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</si>
  <si>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</si>
  <si>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</si>
  <si>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</si>
  <si>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</si>
  <si>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</si>
  <si>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</si>
  <si>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</si>
  <si>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</si>
  <si>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</si>
  <si>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</si>
  <si>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</si>
  <si>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</si>
  <si>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</si>
  <si>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</si>
  <si>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</si>
  <si>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</si>
  <si>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</si>
  <si>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</si>
  <si>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</si>
  <si>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</si>
  <si>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</si>
  <si>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</si>
  <si>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</si>
  <si>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</si>
  <si>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</si>
  <si>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</si>
  <si>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</si>
  <si>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</si>
  <si>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</si>
  <si>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</si>
  <si>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</si>
  <si>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</si>
  <si>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</si>
  <si>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</si>
  <si>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</si>
  <si>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</si>
  <si>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</si>
  <si>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</si>
  <si>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</si>
  <si>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</si>
  <si>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</si>
  <si>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</si>
  <si>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</si>
  <si>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</si>
  <si>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</si>
  <si>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</si>
  <si>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</si>
  <si>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</si>
  <si>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</si>
  <si>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</si>
  <si>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</si>
  <si>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</si>
  <si>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</si>
  <si>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</si>
  <si>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</si>
  <si>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</si>
  <si>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</si>
  <si>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</si>
  <si>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</si>
  <si>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</si>
  <si>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</si>
  <si>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</si>
  <si>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</si>
  <si>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</si>
  <si>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</si>
  <si>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</si>
  <si>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</si>
  <si>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</si>
  <si>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</si>
  <si>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</si>
  <si>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</si>
  <si>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</si>
  <si>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</si>
  <si>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</si>
  <si>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</si>
  <si>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</si>
  <si>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</si>
  <si>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</si>
  <si>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</si>
  <si>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</si>
  <si>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</si>
  <si>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</si>
  <si>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</si>
  <si>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</si>
  <si>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</si>
  <si>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</si>
  <si>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</si>
  <si>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</si>
  <si>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</si>
  <si>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</si>
  <si>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</si>
  <si>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</si>
  <si>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</si>
  <si>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</si>
  <si>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</si>
  <si>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</si>
  <si>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</si>
  <si>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</si>
  <si>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</si>
  <si>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</si>
  <si>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</si>
  <si>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</si>
  <si>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</si>
  <si>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</si>
  <si>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</si>
  <si>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</si>
  <si>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</si>
  <si>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</si>
  <si>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</si>
  <si>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</si>
  <si>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</si>
  <si>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</si>
  <si>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</si>
  <si>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</si>
  <si>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</si>
  <si>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</si>
  <si>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</si>
  <si>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</si>
  <si>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</si>
  <si>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</si>
  <si>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</si>
  <si>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</si>
  <si>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</si>
  <si>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</si>
  <si>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</si>
  <si>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</si>
  <si>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</si>
  <si>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</si>
  <si>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</si>
  <si>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</si>
  <si>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</si>
  <si>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</si>
  <si>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</si>
  <si>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</si>
  <si>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</si>
  <si>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</si>
  <si>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</si>
  <si>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</si>
  <si>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</si>
  <si>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</si>
  <si>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</si>
  <si>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</si>
  <si>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</si>
  <si>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</si>
  <si>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</si>
  <si>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</si>
  <si>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</si>
  <si>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</si>
  <si>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</si>
  <si>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</si>
  <si>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</si>
  <si>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</si>
  <si>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</si>
  <si>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</si>
  <si>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</si>
  <si>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</si>
  <si>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</si>
  <si>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</si>
  <si>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</si>
  <si>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</si>
  <si>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</si>
  <si>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</si>
  <si>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</si>
  <si>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</si>
  <si>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</si>
  <si>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</si>
  <si>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</si>
  <si>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</si>
  <si>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</si>
  <si>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</si>
  <si>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</si>
  <si>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</si>
  <si>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</si>
  <si>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</si>
  <si>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</si>
  <si>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</si>
  <si>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</si>
  <si>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</si>
  <si>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</si>
  <si>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</si>
  <si>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</si>
  <si>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</si>
  <si>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</si>
  <si>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</si>
  <si>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</si>
  <si>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</si>
  <si>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</si>
  <si>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</si>
  <si>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</si>
  <si>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</si>
  <si>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</si>
  <si>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</si>
  <si>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</si>
  <si>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</si>
  <si>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</si>
  <si>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</si>
  <si>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</si>
  <si>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</si>
  <si>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</si>
  <si>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</si>
  <si>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</si>
  <si>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</si>
  <si>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</si>
  <si>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</si>
  <si>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</si>
  <si>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</si>
  <si>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</si>
  <si>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</si>
  <si>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</si>
  <si>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</si>
  <si>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</si>
  <si>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</si>
  <si>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</si>
  <si>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</si>
  <si>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</si>
  <si>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</si>
  <si>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</si>
  <si>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</si>
  <si>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</si>
  <si>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</si>
  <si>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</si>
  <si>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</si>
  <si>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</si>
  <si>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</si>
  <si>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</si>
  <si>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</si>
  <si>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</si>
  <si>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</si>
  <si>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</si>
  <si>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</si>
  <si>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</si>
  <si>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</si>
  <si>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</si>
  <si>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</si>
  <si>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</si>
  <si>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</si>
  <si>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</si>
  <si>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</si>
  <si>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</si>
  <si>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</si>
  <si>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</si>
  <si>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</si>
  <si>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</si>
  <si>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</si>
  <si>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</si>
  <si>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</si>
  <si>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</si>
  <si>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</si>
  <si>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</si>
  <si>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</si>
  <si>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</si>
  <si>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</si>
  <si>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</si>
  <si>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</si>
  <si>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</si>
  <si>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</si>
  <si>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</si>
  <si>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</si>
  <si>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</si>
  <si>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</si>
  <si>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</si>
  <si>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</si>
  <si>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</si>
  <si>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</si>
  <si>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</si>
  <si>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</si>
  <si>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</si>
  <si>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</si>
  <si>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</si>
  <si>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</si>
  <si>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</si>
  <si>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</si>
  <si>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</si>
  <si>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</si>
  <si>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</si>
  <si>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</si>
  <si>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</si>
  <si>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</si>
  <si>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</si>
  <si>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</si>
  <si>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</si>
  <si>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</si>
  <si>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</si>
  <si>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</si>
  <si>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</si>
  <si>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</si>
  <si>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</si>
  <si>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</si>
  <si>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</si>
  <si>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</si>
  <si>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</si>
  <si>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</si>
  <si>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</si>
  <si>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</si>
  <si>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</si>
  <si>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</si>
  <si>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</si>
  <si>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</si>
  <si>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</si>
  <si>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</si>
  <si>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</si>
  <si>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</si>
  <si>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</si>
  <si>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</si>
  <si>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</si>
  <si>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</si>
  <si>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</si>
  <si>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</si>
  <si>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</si>
  <si>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</si>
  <si>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</si>
  <si>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</si>
  <si>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</si>
  <si>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</si>
  <si>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</si>
  <si>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</si>
  <si>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</si>
  <si>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</si>
  <si>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</si>
  <si>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</si>
  <si>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</si>
  <si>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</si>
  <si>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</si>
  <si>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</si>
  <si>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</si>
  <si>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</si>
  <si>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</si>
  <si>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</si>
  <si>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</si>
  <si>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</si>
  <si>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</si>
  <si>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</si>
  <si>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</si>
  <si>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</si>
  <si>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</si>
  <si>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</si>
  <si>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</si>
  <si>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</si>
  <si>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</si>
  <si>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</si>
  <si>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</si>
  <si>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</si>
  <si>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</si>
  <si>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</si>
  <si>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</si>
  <si>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</si>
  <si>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</si>
  <si>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</si>
  <si>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</si>
  <si>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</si>
  <si>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</si>
  <si>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</si>
  <si>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</si>
  <si>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</si>
  <si>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</si>
  <si>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</si>
  <si>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</si>
  <si>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</si>
  <si>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</si>
  <si>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</si>
  <si>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</si>
  <si>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</si>
  <si>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</si>
  <si>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</si>
  <si>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</si>
  <si>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</si>
  <si>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</si>
  <si>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</si>
  <si>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</si>
  <si>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</si>
  <si>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</si>
  <si>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</si>
  <si>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</si>
  <si>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</si>
  <si>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</si>
  <si>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</si>
  <si>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</si>
  <si>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</si>
  <si>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</si>
  <si>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</si>
  <si>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</si>
  <si>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</si>
  <si>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</si>
  <si>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</si>
  <si>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</si>
  <si>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</si>
  <si>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</si>
  <si>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</si>
  <si>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</si>
  <si>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</si>
  <si>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</si>
  <si>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</si>
  <si>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</si>
  <si>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</si>
  <si>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</si>
  <si>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</si>
  <si>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</si>
  <si>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</si>
  <si>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</si>
  <si>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</si>
  <si>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</si>
  <si>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</si>
  <si>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</si>
  <si>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</si>
  <si>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</si>
  <si>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</si>
  <si>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</si>
  <si>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</si>
  <si>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</si>
  <si>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</si>
  <si>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</si>
  <si>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</si>
  <si>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</si>
  <si>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</si>
  <si>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</si>
  <si>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</si>
  <si>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</si>
  <si>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</si>
  <si>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</si>
  <si>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</si>
  <si>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</si>
  <si>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</si>
  <si>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</si>
  <si>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</si>
  <si>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</si>
  <si>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</si>
  <si>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</si>
  <si>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</si>
  <si>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</si>
  <si>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</si>
  <si>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</si>
  <si>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</si>
  <si>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</si>
  <si>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</si>
  <si>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</si>
  <si>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</si>
  <si>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</si>
  <si>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</si>
  <si>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</si>
  <si>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</si>
  <si>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</si>
  <si>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</si>
  <si>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</si>
  <si>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</si>
  <si>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</si>
  <si>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</si>
  <si>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</si>
  <si>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</si>
  <si>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</si>
  <si>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</si>
  <si>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</si>
  <si>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</si>
  <si>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</si>
  <si>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</si>
  <si>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</si>
  <si>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</si>
  <si>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</si>
  <si>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</si>
  <si>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</si>
  <si>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</si>
  <si>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</si>
  <si>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</si>
  <si>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</si>
  <si>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</si>
  <si>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</si>
  <si>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</si>
  <si>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</si>
  <si>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</si>
  <si>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</si>
  <si>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</si>
  <si>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</si>
  <si>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</si>
  <si>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</si>
  <si>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</si>
  <si>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</si>
  <si>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</si>
  <si>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</si>
  <si>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</si>
  <si>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</si>
  <si>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</si>
  <si>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</si>
  <si>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</si>
  <si>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</si>
  <si>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</si>
  <si>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</si>
  <si>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</si>
  <si>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</si>
  <si>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</si>
  <si>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</si>
  <si>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</si>
  <si>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</si>
  <si>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</si>
  <si>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</si>
  <si>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</si>
  <si>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</si>
  <si>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</si>
  <si>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</si>
  <si>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</si>
  <si>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</si>
  <si>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</si>
  <si>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</si>
  <si>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</si>
  <si>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</si>
  <si>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</si>
  <si>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</si>
  <si>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</si>
  <si>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</si>
  <si>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</si>
  <si>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</si>
  <si>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</si>
  <si>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</si>
  <si>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</si>
  <si>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</si>
  <si>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</si>
  <si>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</si>
  <si>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</si>
  <si>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</si>
  <si>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</si>
  <si>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</si>
  <si>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</si>
  <si>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</si>
  <si>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</si>
  <si>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</si>
  <si>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</si>
  <si>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</si>
  <si>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</si>
  <si>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</si>
  <si>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</si>
  <si>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</si>
  <si>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</si>
  <si>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</si>
  <si>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</si>
  <si>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</si>
  <si>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</si>
  <si>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</si>
  <si>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</si>
  <si>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</si>
  <si>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</si>
  <si>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</si>
  <si>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</si>
  <si>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</si>
  <si>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</si>
  <si>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</si>
  <si>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</si>
  <si>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</si>
  <si>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</si>
  <si>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</si>
  <si>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</si>
  <si>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</si>
  <si>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</si>
  <si>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</si>
  <si>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</si>
  <si>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</si>
  <si>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</si>
  <si>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</si>
  <si>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</si>
  <si>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</si>
  <si>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</si>
  <si>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</si>
  <si>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</si>
  <si>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</si>
  <si>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</si>
  <si>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</si>
  <si>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</si>
  <si>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</si>
  <si>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</si>
  <si>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</si>
  <si>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</si>
  <si>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</si>
  <si>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</si>
  <si>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</si>
  <si>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</si>
  <si>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</si>
  <si>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</si>
  <si>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</si>
  <si>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</si>
  <si>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</si>
  <si>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</si>
  <si>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</si>
  <si>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</si>
  <si>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</si>
  <si>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</si>
  <si>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</si>
  <si>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</si>
  <si>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</si>
  <si>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</si>
  <si>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</si>
  <si>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</si>
  <si>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</si>
  <si>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</si>
  <si>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</si>
  <si>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</si>
  <si>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</si>
  <si>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</si>
  <si>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</si>
  <si>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</si>
  <si>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</si>
  <si>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</si>
  <si>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</si>
  <si>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</si>
  <si>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</si>
  <si>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</si>
  <si>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</si>
  <si>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</si>
  <si>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</si>
  <si>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</si>
  <si>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</si>
  <si>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</si>
  <si>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</si>
  <si>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</si>
  <si>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</si>
  <si>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</si>
  <si>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</si>
  <si>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</si>
  <si>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</si>
  <si>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</si>
  <si>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</si>
  <si>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</si>
  <si>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</si>
  <si>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</si>
  <si>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</si>
  <si>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</si>
  <si>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</si>
  <si>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</si>
  <si>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</si>
  <si>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</si>
  <si>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</si>
  <si>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</si>
  <si>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</si>
  <si>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</si>
  <si>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</si>
  <si>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</si>
  <si>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</si>
  <si>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</si>
  <si>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</si>
  <si>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</si>
  <si>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</si>
  <si>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</si>
  <si>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</si>
  <si>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</si>
  <si>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</si>
  <si>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</si>
  <si>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</si>
  <si>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</si>
  <si>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</si>
  <si>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</si>
  <si>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</si>
  <si>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</si>
  <si>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</si>
  <si>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</si>
  <si>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</si>
  <si>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</si>
  <si>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</si>
  <si>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</si>
  <si>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</si>
  <si>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</si>
  <si>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</si>
  <si>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</si>
  <si>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</si>
  <si>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</si>
  <si>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</si>
  <si>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</si>
  <si>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</si>
  <si>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</si>
  <si>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</si>
  <si>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</si>
  <si>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</si>
  <si>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</si>
  <si>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</si>
  <si>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</si>
  <si>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</si>
  <si>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</si>
  <si>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</si>
  <si>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</si>
  <si>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</si>
  <si>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</si>
  <si>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</si>
  <si>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</si>
  <si>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</si>
  <si>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</si>
  <si>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</si>
  <si>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</si>
  <si>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</si>
  <si>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</si>
  <si>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</si>
  <si>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</si>
  <si>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</si>
  <si>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</si>
  <si>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</si>
  <si>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</si>
  <si>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</si>
  <si>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</si>
  <si>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</si>
  <si>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</si>
  <si>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</si>
  <si>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</si>
  <si>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</si>
  <si>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</si>
  <si>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</si>
  <si>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</si>
  <si>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</si>
  <si>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</si>
  <si>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</si>
  <si>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</si>
  <si>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</si>
  <si>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</si>
  <si>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</si>
  <si>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</si>
  <si>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</si>
  <si>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</si>
  <si>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</si>
  <si>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</si>
  <si>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</si>
  <si>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</si>
  <si>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</si>
  <si>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</si>
  <si>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</si>
  <si>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</si>
  <si>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</si>
  <si>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</si>
  <si>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</si>
  <si>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</si>
  <si>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</si>
  <si>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</si>
  <si>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</si>
  <si>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</si>
  <si>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</si>
  <si>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</si>
  <si>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</si>
  <si>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</si>
  <si>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</si>
  <si>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</si>
  <si>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</si>
  <si>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</si>
  <si>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</si>
  <si>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</si>
  <si>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</si>
  <si>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</si>
  <si>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</si>
  <si>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</si>
  <si>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</si>
  <si>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</si>
  <si>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</si>
  <si>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</si>
  <si>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</si>
  <si>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</si>
  <si>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</si>
  <si>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</si>
  <si>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</si>
  <si>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</si>
  <si>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</si>
  <si>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</si>
  <si>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</si>
  <si>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</si>
  <si>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</si>
  <si>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</si>
  <si>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</si>
  <si>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</si>
  <si>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</si>
  <si>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</si>
  <si>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</si>
  <si>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</si>
  <si>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</si>
  <si>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</si>
  <si>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</si>
  <si>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</si>
  <si>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</si>
  <si>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</si>
  <si>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</si>
  <si>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</si>
  <si>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</si>
  <si>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</si>
  <si>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</si>
  <si>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</si>
  <si>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</si>
  <si>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</si>
  <si>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</si>
  <si>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</si>
  <si>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</si>
  <si>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</si>
  <si>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</si>
  <si>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</si>
  <si>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</si>
  <si>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</si>
  <si>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</si>
  <si>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</si>
  <si>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</si>
  <si>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</si>
  <si>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</si>
  <si>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</si>
  <si>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</si>
  <si>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</si>
  <si>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</si>
  <si>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</si>
  <si>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</si>
  <si>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</si>
  <si>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</si>
  <si>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</si>
  <si>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</si>
  <si>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</si>
  <si>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</si>
  <si>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</si>
  <si>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</si>
  <si>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</si>
  <si>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</si>
  <si>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</si>
  <si>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</si>
  <si>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</si>
  <si>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</si>
  <si>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</si>
  <si>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</si>
  <si>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</si>
  <si>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</si>
  <si>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</si>
  <si>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</si>
  <si>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</si>
  <si>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</si>
  <si>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</si>
  <si>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</si>
  <si>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</si>
  <si>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</si>
  <si>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</si>
  <si>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</si>
  <si>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</si>
  <si>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</si>
  <si>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</si>
  <si>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</si>
  <si>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</si>
  <si>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</si>
  <si>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</si>
  <si>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</si>
  <si>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</si>
  <si>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</si>
  <si>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</si>
  <si>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</si>
  <si>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</si>
  <si>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</si>
  <si>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</si>
  <si>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</si>
  <si>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</si>
  <si>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</si>
  <si>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</si>
  <si>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</si>
  <si>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</si>
  <si>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</si>
  <si>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</si>
  <si>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</si>
  <si>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</si>
  <si>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</si>
  <si>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</si>
  <si>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</si>
  <si>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</si>
  <si>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</si>
  <si>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</si>
  <si>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</si>
  <si>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</si>
  <si>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</si>
  <si>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</si>
  <si>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</si>
  <si>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</si>
  <si>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</si>
  <si>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</si>
  <si>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</si>
  <si>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</si>
  <si>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</si>
  <si>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</si>
  <si>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</si>
  <si>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</si>
  <si>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</si>
  <si>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</si>
  <si>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</si>
  <si>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</si>
  <si>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</si>
  <si>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</si>
  <si>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</si>
  <si>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</si>
  <si>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</si>
  <si>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</si>
  <si>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</si>
  <si>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</si>
  <si>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</si>
  <si>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</si>
  <si>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</si>
  <si>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</si>
  <si>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</si>
  <si>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</si>
  <si>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</si>
  <si>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</si>
  <si>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</si>
  <si>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</si>
  <si>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</si>
  <si>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</si>
  <si>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</si>
  <si>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</si>
  <si>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</si>
  <si>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</si>
  <si>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</si>
  <si>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</si>
  <si>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</si>
  <si>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</si>
  <si>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</si>
  <si>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</si>
  <si>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</si>
  <si>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</si>
  <si>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</si>
  <si>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</si>
  <si>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</si>
  <si>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</si>
  <si>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</si>
  <si>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</si>
  <si>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</si>
  <si>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</si>
  <si>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</si>
  <si>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</si>
  <si>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</si>
  <si>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</si>
  <si>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</si>
  <si>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</si>
  <si>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</si>
  <si>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</si>
  <si>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</si>
  <si>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</si>
  <si>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</si>
  <si>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</si>
  <si>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</si>
  <si>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</si>
  <si>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</si>
  <si>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</si>
  <si>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</si>
  <si>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</si>
  <si>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</si>
  <si>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</si>
  <si>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</si>
  <si>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</si>
  <si>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</si>
  <si>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</si>
  <si>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</si>
  <si>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</si>
  <si>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</si>
  <si>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</si>
  <si>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</si>
  <si>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</si>
  <si>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</si>
  <si>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</si>
  <si>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</si>
  <si>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</si>
  <si>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</si>
  <si>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</si>
  <si>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</si>
  <si>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</si>
  <si>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</si>
  <si>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</si>
  <si>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</si>
  <si>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</si>
  <si>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</si>
  <si>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</si>
  <si>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</si>
  <si>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</si>
  <si>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</si>
  <si>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</si>
  <si>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</si>
  <si>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</si>
  <si>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</si>
  <si>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</si>
  <si>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</si>
  <si>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</si>
  <si>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</si>
  <si>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</si>
  <si>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</si>
  <si>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</si>
  <si>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</si>
  <si>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</si>
  <si>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</si>
  <si>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</si>
  <si>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</si>
  <si>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</si>
  <si>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</si>
  <si>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</si>
  <si>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</si>
  <si>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</si>
  <si>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</si>
  <si>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</si>
  <si>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</si>
  <si>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</si>
  <si>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</si>
  <si>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</si>
  <si>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</si>
  <si>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</si>
  <si>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</si>
  <si>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</si>
  <si>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</si>
  <si>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</si>
  <si>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</si>
  <si>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</si>
  <si>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</si>
  <si>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</si>
  <si>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</si>
  <si>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</si>
  <si>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</si>
  <si>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</si>
  <si>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</si>
  <si>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</si>
  <si>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</si>
  <si>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</si>
  <si>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</si>
  <si>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</si>
  <si>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</si>
  <si>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</si>
  <si>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</si>
  <si>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</si>
  <si>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</si>
  <si>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</si>
  <si>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</si>
  <si>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</si>
  <si>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</si>
  <si>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</si>
  <si>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</si>
  <si>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</si>
  <si>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</si>
  <si>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</si>
  <si>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</si>
  <si>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</si>
  <si>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</si>
  <si>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</si>
  <si>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</si>
  <si>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</si>
  <si>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</si>
  <si>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</si>
  <si>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</si>
  <si>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</si>
  <si>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</si>
  <si>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</si>
  <si>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</si>
  <si>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</si>
  <si>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</si>
  <si>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</si>
  <si>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</si>
  <si>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</si>
  <si>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</si>
  <si>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</si>
  <si>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</si>
  <si>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</si>
  <si>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</si>
  <si>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</si>
  <si>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</si>
  <si>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</si>
  <si>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</si>
  <si>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</si>
  <si>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</si>
  <si>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</si>
  <si>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</si>
  <si>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</si>
  <si>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</si>
  <si>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</si>
  <si>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</si>
  <si>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</si>
  <si>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</si>
  <si>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</si>
  <si>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</si>
  <si>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</si>
  <si>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</si>
  <si>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</si>
  <si>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</si>
  <si>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</si>
  <si>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</si>
  <si>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</si>
  <si>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</si>
  <si>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</si>
  <si>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</si>
  <si>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</si>
  <si>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</si>
  <si>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</si>
  <si>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</si>
  <si>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</si>
  <si>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</si>
  <si>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</si>
  <si>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</si>
  <si>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</si>
  <si>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</si>
  <si>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</si>
  <si>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</si>
  <si>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</si>
  <si>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</si>
  <si>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</si>
  <si>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</si>
  <si>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</si>
  <si>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</si>
  <si>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</si>
  <si>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</si>
  <si>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</si>
  <si>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</si>
  <si>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</si>
  <si>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</si>
  <si>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</si>
  <si>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</si>
  <si>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</si>
  <si>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</si>
  <si>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</si>
  <si>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</si>
  <si>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</si>
  <si>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</si>
  <si>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</si>
  <si>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</si>
  <si>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</si>
  <si>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</si>
  <si>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</si>
  <si>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</si>
  <si>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</si>
  <si>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</si>
  <si>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</si>
  <si>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</si>
  <si>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</si>
  <si>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</si>
  <si>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</si>
  <si>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</si>
  <si>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</si>
  <si>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</si>
  <si>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</si>
  <si>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</si>
  <si>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</si>
  <si>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</si>
  <si>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</si>
  <si>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</si>
  <si>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</si>
  <si>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</si>
  <si>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</si>
  <si>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</si>
  <si>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</si>
  <si>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</si>
  <si>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</si>
  <si>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</si>
  <si>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</si>
  <si>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</si>
  <si>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</si>
  <si>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</si>
  <si>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</si>
  <si>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</si>
  <si>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</si>
  <si>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</si>
  <si>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</si>
  <si>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</si>
  <si>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</si>
  <si>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</si>
  <si>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</si>
  <si>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</si>
  <si>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</si>
  <si>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</si>
  <si>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</si>
  <si>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</si>
  <si>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</si>
  <si>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</si>
  <si>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</si>
  <si>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</si>
  <si>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</si>
  <si>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</si>
  <si>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</si>
  <si>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</si>
  <si>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</si>
  <si>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</si>
  <si>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</si>
  <si>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</si>
  <si>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</si>
  <si>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</si>
  <si>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</si>
  <si>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</si>
  <si>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</si>
  <si>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</si>
  <si>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</si>
  <si>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</si>
  <si>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</si>
  <si>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</si>
  <si>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</si>
  <si>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</si>
  <si>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</si>
  <si>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</si>
  <si>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</si>
  <si>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</si>
  <si>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</si>
  <si>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</si>
  <si>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</si>
  <si>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</si>
  <si>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</si>
  <si>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</si>
  <si>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</si>
  <si>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</si>
  <si>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</si>
  <si>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</si>
  <si>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</si>
  <si>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</si>
  <si>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</si>
  <si>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</si>
  <si>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</si>
  <si>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</si>
  <si>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</si>
  <si>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</si>
  <si>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</si>
  <si>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</si>
  <si>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</si>
  <si>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</si>
  <si>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</si>
  <si>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</si>
  <si>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</si>
  <si>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</si>
  <si>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</si>
  <si>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</si>
  <si>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</si>
  <si>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</si>
  <si>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</si>
  <si>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</si>
  <si>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</si>
  <si>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</si>
  <si>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</si>
  <si>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</si>
  <si>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</si>
  <si>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</si>
  <si>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</si>
  <si>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</si>
  <si>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</si>
  <si>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</si>
  <si>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</si>
  <si>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</si>
  <si>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</si>
  <si>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</si>
  <si>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</si>
  <si>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</si>
  <si>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</si>
  <si>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</si>
  <si>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</si>
  <si>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</si>
  <si>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</si>
  <si>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</si>
  <si>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</si>
  <si>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</si>
  <si>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</si>
  <si>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</si>
  <si>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</si>
  <si>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</si>
  <si>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</si>
  <si>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</si>
  <si>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</si>
  <si>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</si>
  <si>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</si>
  <si>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</si>
  <si>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</si>
  <si>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</si>
  <si>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</si>
  <si>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</si>
  <si>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</si>
  <si>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</si>
  <si>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</si>
  <si>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</si>
  <si>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</si>
  <si>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</si>
  <si>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</si>
  <si>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</si>
  <si>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</si>
  <si>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</si>
  <si>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</si>
  <si>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</si>
  <si>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</si>
  <si>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</si>
  <si>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</si>
  <si>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</si>
  <si>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</si>
  <si>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</si>
  <si>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</si>
  <si>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</si>
  <si>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</si>
  <si>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</si>
  <si>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</si>
  <si>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</si>
  <si>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</si>
  <si>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</si>
  <si>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</si>
  <si>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</si>
  <si>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</si>
  <si>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</si>
  <si>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</si>
  <si>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</si>
  <si>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</si>
  <si>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</si>
  <si>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</si>
  <si>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</si>
  <si>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</si>
  <si>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</si>
  <si>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</si>
  <si>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</si>
  <si>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</si>
  <si>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</si>
  <si>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</si>
  <si>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</si>
  <si>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</si>
  <si>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</si>
  <si>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</si>
  <si>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</si>
  <si>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</si>
  <si>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</si>
  <si>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</si>
  <si>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</si>
  <si>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</si>
  <si>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</si>
  <si>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</si>
  <si>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</si>
  <si>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</si>
  <si>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</si>
  <si>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</si>
  <si>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</si>
  <si>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</si>
  <si>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</si>
  <si>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</si>
  <si>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</si>
  <si>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</si>
  <si>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</si>
  <si>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</si>
  <si>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</si>
  <si>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</si>
  <si>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</si>
  <si>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</si>
  <si>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</si>
  <si>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</si>
  <si>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</si>
  <si>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</si>
  <si>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</si>
  <si>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</si>
  <si>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</si>
  <si>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</si>
  <si>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</si>
  <si>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</si>
  <si>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</si>
  <si>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</si>
  <si>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</si>
  <si>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</si>
  <si>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</si>
  <si>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</si>
  <si>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</si>
  <si>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</si>
  <si>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</si>
  <si>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</si>
  <si>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</si>
  <si>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</si>
  <si>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</si>
  <si>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</si>
  <si>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</si>
  <si>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</si>
  <si>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</si>
  <si>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</si>
  <si>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</si>
  <si>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</si>
  <si>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</si>
  <si>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</si>
  <si>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</si>
  <si>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</si>
  <si>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</si>
  <si>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</si>
  <si>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</si>
  <si>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</si>
  <si>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</si>
  <si>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</si>
  <si>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</si>
  <si>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</si>
  <si>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</si>
  <si>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</si>
  <si>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</si>
  <si>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</si>
  <si>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</si>
  <si>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</si>
  <si>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</si>
  <si>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</si>
  <si>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</si>
  <si>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</si>
  <si>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</si>
  <si>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</si>
  <si>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</si>
  <si>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</si>
  <si>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</si>
  <si>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</si>
  <si>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</si>
  <si>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</si>
  <si>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</si>
  <si>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</si>
  <si>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</si>
  <si>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</si>
  <si>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</si>
  <si>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</si>
  <si>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</si>
  <si>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</si>
  <si>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</si>
  <si>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</si>
  <si>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</si>
  <si>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</si>
  <si>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</si>
  <si>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</si>
  <si>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</si>
  <si>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</si>
  <si>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</si>
  <si>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</si>
  <si>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</si>
  <si>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</si>
  <si>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</si>
  <si>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</si>
  <si>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</si>
  <si>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</si>
  <si>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</si>
  <si>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</si>
  <si>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</si>
  <si>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</si>
  <si>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</si>
  <si>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</si>
  <si>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</si>
  <si>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</si>
  <si>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</si>
  <si>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</si>
  <si>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</si>
  <si>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</si>
  <si>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</si>
  <si>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</si>
  <si>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</si>
  <si>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</si>
  <si>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</si>
  <si>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</si>
  <si>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</si>
  <si>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</si>
  <si>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</si>
  <si>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</si>
  <si>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</si>
  <si>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</si>
  <si>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</si>
  <si>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</si>
  <si>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</si>
  <si>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</si>
  <si>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</si>
  <si>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</si>
  <si>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</si>
  <si>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</si>
  <si>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</si>
  <si>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</si>
  <si>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</si>
  <si>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</si>
  <si>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</si>
  <si>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</si>
  <si>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</si>
  <si>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</si>
  <si>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</si>
  <si>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</si>
  <si>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</si>
  <si>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</si>
  <si>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</si>
  <si>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</si>
  <si>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</si>
  <si>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</si>
  <si>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</si>
  <si>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</si>
  <si>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</si>
  <si>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</si>
  <si>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</si>
  <si>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</si>
  <si>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</si>
  <si>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</si>
  <si>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</si>
  <si>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</si>
  <si>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</si>
  <si>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</si>
  <si>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</si>
  <si>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</si>
  <si>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</si>
  <si>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</si>
  <si>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</si>
  <si>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</si>
  <si>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</si>
  <si>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</si>
  <si>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</si>
  <si>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</si>
  <si>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</si>
  <si>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</si>
  <si>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</si>
  <si>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</si>
  <si>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</si>
  <si>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</si>
  <si>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</si>
  <si>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</si>
  <si>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</si>
  <si>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</si>
  <si>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</si>
  <si>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</si>
  <si>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</si>
  <si>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</si>
  <si>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</si>
  <si>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</si>
  <si>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</si>
  <si>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</si>
  <si>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</si>
  <si>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</si>
  <si>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</si>
  <si>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</si>
  <si>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</si>
  <si>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</si>
  <si>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</si>
  <si>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</si>
  <si>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</si>
  <si>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</si>
  <si>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</si>
  <si>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</si>
  <si>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</si>
  <si>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</si>
  <si>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</si>
  <si>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</si>
  <si>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</si>
  <si>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</si>
  <si>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</si>
  <si>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</si>
  <si>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</si>
  <si>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</si>
  <si>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</si>
  <si>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</si>
  <si>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</si>
  <si>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</si>
  <si>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</si>
  <si>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</si>
  <si>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</si>
  <si>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</si>
  <si>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</si>
  <si>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</si>
  <si>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</si>
  <si>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</si>
  <si>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</si>
  <si>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</si>
  <si>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</si>
  <si>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</si>
  <si>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</si>
  <si>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</si>
  <si>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</si>
  <si>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</si>
  <si>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</si>
  <si>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</si>
  <si>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</si>
  <si>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</si>
  <si>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</si>
  <si>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</si>
  <si>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</si>
  <si>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</si>
  <si>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</si>
  <si>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</si>
  <si>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</si>
  <si>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</si>
  <si>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</si>
  <si>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</si>
  <si>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</si>
  <si>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</si>
  <si>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</si>
  <si>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</si>
  <si>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</si>
  <si>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</si>
  <si>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</si>
  <si>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</si>
  <si>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</si>
  <si>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</si>
  <si>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</si>
  <si>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</si>
  <si>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</si>
  <si>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</si>
  <si>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</si>
  <si>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</si>
  <si>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</si>
  <si>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</si>
  <si>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</si>
  <si>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</si>
  <si>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</si>
  <si>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</si>
  <si>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</si>
  <si>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</si>
  <si>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</si>
  <si>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</si>
  <si>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</si>
  <si>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</si>
  <si>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</si>
  <si>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</si>
  <si>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</si>
  <si>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</si>
  <si>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</si>
  <si>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</si>
  <si>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</si>
  <si>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</si>
  <si>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</si>
  <si>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</si>
  <si>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</si>
  <si>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</si>
  <si>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</si>
  <si>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</si>
  <si>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</si>
  <si>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</si>
  <si>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</si>
  <si>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</si>
  <si>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</si>
  <si>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</si>
  <si>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</si>
  <si>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</si>
  <si>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</si>
  <si>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</si>
  <si>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</si>
  <si>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</si>
  <si>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</si>
  <si>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</si>
  <si>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</si>
  <si>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</si>
  <si>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</si>
  <si>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</si>
  <si>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</si>
  <si>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</si>
  <si>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</si>
  <si>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</si>
  <si>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</si>
  <si>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</si>
  <si>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</si>
  <si>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</si>
  <si>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</si>
  <si>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</si>
  <si>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</si>
  <si>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</si>
  <si>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</si>
  <si>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</si>
  <si>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</si>
  <si>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</si>
  <si>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</si>
  <si>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</si>
  <si>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</si>
  <si>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</si>
  <si>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</si>
  <si>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</si>
  <si>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</si>
  <si>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</si>
  <si>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</si>
  <si>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</si>
  <si>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</si>
  <si>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</si>
  <si>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</si>
  <si>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</si>
  <si>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</si>
  <si>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</si>
  <si>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</si>
  <si>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</si>
  <si>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</si>
  <si>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</si>
  <si>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</si>
  <si>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</si>
  <si>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</si>
  <si>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</si>
  <si>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</si>
  <si>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</si>
  <si>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</si>
  <si>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</si>
  <si>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</si>
  <si>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</si>
  <si>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</si>
  <si>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</si>
  <si>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</si>
  <si>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</si>
  <si>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</si>
  <si>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</si>
  <si>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</si>
  <si>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</si>
  <si>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</si>
  <si>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</si>
  <si>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</si>
  <si>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</si>
  <si>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</si>
  <si>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</si>
  <si>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</si>
  <si>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</si>
  <si>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</si>
  <si>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</si>
  <si>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</si>
  <si>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</si>
  <si>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</si>
  <si>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</si>
  <si>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</si>
  <si>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</si>
  <si>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</si>
  <si>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</si>
  <si>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وبانک 5658 تا 303.2</t>
  </si>
  <si>
    <t>وغدیر 65227 تا 171.8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</si>
  <si>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</si>
  <si>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</si>
  <si>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</si>
  <si>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</si>
  <si>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</si>
  <si>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</si>
  <si>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</si>
  <si>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زاگرس 521 تا 5160</t>
  </si>
  <si>
    <t>شاراک 12060 تا 489</t>
  </si>
  <si>
    <t>واریز مریم</t>
  </si>
  <si>
    <t>علی از کارت سارا 13/12/97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</si>
</sst>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4584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4832</v>
      </c>
      <c r="B44" s="113">
        <v>-31000</v>
      </c>
      <c r="C44" s="99" t="s">
        <v>4845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34" workbookViewId="0">
      <selection activeCell="E56" sqref="E56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8" t="s">
        <v>0</v>
      </c>
      <c r="B1" s="218" t="s">
        <v>1</v>
      </c>
      <c r="C1" s="218" t="s">
        <v>4</v>
      </c>
      <c r="D1" s="218" t="s">
        <v>5</v>
      </c>
      <c r="E1" s="2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8" t="s">
        <v>4793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8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4806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4832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4844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4844</v>
      </c>
      <c r="B6" s="18">
        <v>-1866154</v>
      </c>
      <c r="C6" s="18">
        <v>0</v>
      </c>
      <c r="D6" s="113">
        <f t="shared" si="0"/>
        <v>-1866154</v>
      </c>
      <c r="E6" s="19" t="s">
        <v>4854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4844</v>
      </c>
      <c r="B7" s="18">
        <v>-36600</v>
      </c>
      <c r="C7" s="18">
        <v>0</v>
      </c>
      <c r="D7" s="113">
        <f t="shared" si="0"/>
        <v>-36600</v>
      </c>
      <c r="E7" s="19" t="s">
        <v>4855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4856</v>
      </c>
      <c r="B8" s="18">
        <v>-492000</v>
      </c>
      <c r="C8" s="18">
        <v>0</v>
      </c>
      <c r="D8" s="113">
        <f t="shared" si="0"/>
        <v>-492000</v>
      </c>
      <c r="E8" s="19" t="s">
        <v>4857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4856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4856</v>
      </c>
      <c r="B10" s="18">
        <v>-40000</v>
      </c>
      <c r="C10" s="18">
        <v>0</v>
      </c>
      <c r="D10" s="113">
        <f t="shared" si="0"/>
        <v>-40000</v>
      </c>
      <c r="E10" s="19" t="s">
        <v>4859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4860</v>
      </c>
      <c r="B11" s="18">
        <v>-66000</v>
      </c>
      <c r="C11" s="18">
        <v>0</v>
      </c>
      <c r="D11" s="113">
        <f t="shared" si="0"/>
        <v>-66000</v>
      </c>
      <c r="E11" s="19" t="s">
        <v>4859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4861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4861</v>
      </c>
      <c r="B13" s="18">
        <v>-200500</v>
      </c>
      <c r="C13" s="18">
        <v>0</v>
      </c>
      <c r="D13" s="113">
        <f t="shared" si="0"/>
        <v>-200500</v>
      </c>
      <c r="E13" s="20" t="s">
        <v>4862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4868</v>
      </c>
      <c r="B14" s="18">
        <v>1563000</v>
      </c>
      <c r="C14" s="18">
        <v>0</v>
      </c>
      <c r="D14" s="113">
        <f t="shared" si="0"/>
        <v>1563000</v>
      </c>
      <c r="E14" s="20" t="s">
        <v>4875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4868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4729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4745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4751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4751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4763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4753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4755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4773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4783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8" t="s">
        <v>4642</v>
      </c>
      <c r="B31" s="218">
        <v>0</v>
      </c>
      <c r="C31" s="218">
        <v>0</v>
      </c>
      <c r="D31" s="218">
        <f t="shared" si="0"/>
        <v>0</v>
      </c>
      <c r="E31" s="218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8" t="s">
        <v>6</v>
      </c>
      <c r="B32" s="113">
        <f>SUM(B2:B31)</f>
        <v>1679307</v>
      </c>
      <c r="C32" s="113">
        <f>SUM(C2:C31)</f>
        <v>0</v>
      </c>
      <c r="D32" s="113">
        <f>SUM(D2:D31)</f>
        <v>1679307</v>
      </c>
      <c r="E32" s="21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38306830</v>
      </c>
      <c r="H33" s="18">
        <f>SUM(H2:H31)</f>
        <v>0</v>
      </c>
      <c r="I33" s="18">
        <f>SUM(I2:I31)</f>
        <v>38306830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4804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4820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4830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4842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4848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4852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4853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4854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4858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4863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4866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4869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4876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756465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abSelected="1" zoomScaleNormal="100" workbookViewId="0">
      <pane ySplit="1" topLeftCell="A314" activePane="bottomLeft" state="frozen"/>
      <selection pane="bottomLeft" activeCell="F329" sqref="F32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1059</v>
      </c>
      <c r="H2" s="36">
        <f>IF(B2&gt;0,1,0)</f>
        <v>1</v>
      </c>
      <c r="I2" s="11">
        <f>B2*(G2-H2)</f>
        <v>17668600</v>
      </c>
      <c r="J2" s="53">
        <f>C2*(G2-H2)</f>
        <v>17668600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1058</v>
      </c>
      <c r="H3" s="36">
        <f t="shared" ref="H3:H66" si="2">IF(B3&gt;0,1,0)</f>
        <v>1</v>
      </c>
      <c r="I3" s="11">
        <f t="shared" ref="I3:I66" si="3">B3*(G3-H3)</f>
        <v>21034300000</v>
      </c>
      <c r="J3" s="53">
        <f t="shared" ref="J3:J66" si="4">C3*(G3-H3)</f>
        <v>12036059000</v>
      </c>
      <c r="K3" s="53">
        <f t="shared" ref="K3:K66" si="5">D3*(G3-H3)</f>
        <v>8998241000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1058</v>
      </c>
      <c r="H4" s="36">
        <f t="shared" si="2"/>
        <v>0</v>
      </c>
      <c r="I4" s="11">
        <f t="shared" si="3"/>
        <v>0</v>
      </c>
      <c r="J4" s="53">
        <f t="shared" si="4"/>
        <v>8993000</v>
      </c>
      <c r="K4" s="53">
        <f t="shared" si="5"/>
        <v>-8993000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1056</v>
      </c>
      <c r="H5" s="36">
        <f t="shared" si="2"/>
        <v>1</v>
      </c>
      <c r="I5" s="11">
        <f t="shared" si="3"/>
        <v>2110000000</v>
      </c>
      <c r="J5" s="53">
        <f t="shared" si="4"/>
        <v>0</v>
      </c>
      <c r="K5" s="53">
        <f t="shared" si="5"/>
        <v>2110000000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1049</v>
      </c>
      <c r="H6" s="36">
        <f t="shared" si="2"/>
        <v>0</v>
      </c>
      <c r="I6" s="11">
        <f t="shared" si="3"/>
        <v>-5245000</v>
      </c>
      <c r="J6" s="53">
        <f t="shared" si="4"/>
        <v>0</v>
      </c>
      <c r="K6" s="53">
        <f t="shared" si="5"/>
        <v>-5245000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1045</v>
      </c>
      <c r="H7" s="36">
        <f t="shared" si="2"/>
        <v>0</v>
      </c>
      <c r="I7" s="11">
        <f t="shared" si="3"/>
        <v>-1254522500</v>
      </c>
      <c r="J7" s="53">
        <f t="shared" si="4"/>
        <v>0</v>
      </c>
      <c r="K7" s="53">
        <f t="shared" si="5"/>
        <v>-1254522500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1044</v>
      </c>
      <c r="H8" s="36">
        <f t="shared" si="2"/>
        <v>0</v>
      </c>
      <c r="I8" s="11">
        <f t="shared" si="3"/>
        <v>-208800000</v>
      </c>
      <c r="J8" s="53">
        <f t="shared" si="4"/>
        <v>0</v>
      </c>
      <c r="K8" s="53">
        <f t="shared" si="5"/>
        <v>-208800000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1042</v>
      </c>
      <c r="H9" s="36">
        <f t="shared" si="2"/>
        <v>0</v>
      </c>
      <c r="I9" s="11">
        <f t="shared" si="3"/>
        <v>-735131000</v>
      </c>
      <c r="J9" s="53">
        <f t="shared" si="4"/>
        <v>0</v>
      </c>
      <c r="K9" s="53">
        <f t="shared" si="5"/>
        <v>-735131000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1033</v>
      </c>
      <c r="H10" s="36">
        <f t="shared" si="2"/>
        <v>0</v>
      </c>
      <c r="I10" s="11">
        <f t="shared" si="3"/>
        <v>-206600000</v>
      </c>
      <c r="J10" s="53">
        <f t="shared" si="4"/>
        <v>0</v>
      </c>
      <c r="K10" s="53">
        <f t="shared" si="5"/>
        <v>-206600000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1033</v>
      </c>
      <c r="H11" s="36">
        <f t="shared" si="2"/>
        <v>1</v>
      </c>
      <c r="I11" s="11">
        <f t="shared" si="3"/>
        <v>1032000000</v>
      </c>
      <c r="J11" s="53">
        <f t="shared" si="4"/>
        <v>0</v>
      </c>
      <c r="K11" s="53">
        <f t="shared" si="5"/>
        <v>1032000000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1029</v>
      </c>
      <c r="H12" s="36">
        <f t="shared" si="2"/>
        <v>0</v>
      </c>
      <c r="I12" s="11">
        <f t="shared" si="3"/>
        <v>-308700000</v>
      </c>
      <c r="J12" s="53">
        <f t="shared" si="4"/>
        <v>0</v>
      </c>
      <c r="K12" s="53">
        <f t="shared" si="5"/>
        <v>-308700000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1024</v>
      </c>
      <c r="H13" s="36">
        <f t="shared" si="2"/>
        <v>0</v>
      </c>
      <c r="I13" s="11">
        <f t="shared" si="3"/>
        <v>-63488000</v>
      </c>
      <c r="J13" s="53">
        <f t="shared" si="4"/>
        <v>0</v>
      </c>
      <c r="K13" s="53">
        <f t="shared" si="5"/>
        <v>-63488000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1024</v>
      </c>
      <c r="H14" s="36">
        <f t="shared" si="2"/>
        <v>1</v>
      </c>
      <c r="I14" s="11">
        <f t="shared" si="3"/>
        <v>2046000000</v>
      </c>
      <c r="J14" s="53">
        <f t="shared" si="4"/>
        <v>0</v>
      </c>
      <c r="K14" s="53">
        <f t="shared" si="5"/>
        <v>2046000000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1023</v>
      </c>
      <c r="H15" s="36">
        <f t="shared" si="2"/>
        <v>1</v>
      </c>
      <c r="I15" s="11">
        <f t="shared" si="3"/>
        <v>1839600000</v>
      </c>
      <c r="J15" s="53">
        <f t="shared" si="4"/>
        <v>0</v>
      </c>
      <c r="K15" s="53">
        <f t="shared" si="5"/>
        <v>1839600000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1023</v>
      </c>
      <c r="H16" s="36">
        <f t="shared" si="2"/>
        <v>0</v>
      </c>
      <c r="I16" s="11">
        <f t="shared" si="3"/>
        <v>-204600000</v>
      </c>
      <c r="J16" s="53">
        <f t="shared" si="4"/>
        <v>0</v>
      </c>
      <c r="K16" s="53">
        <f t="shared" si="5"/>
        <v>-204600000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1019</v>
      </c>
      <c r="H17" s="36">
        <f t="shared" si="2"/>
        <v>0</v>
      </c>
      <c r="I17" s="11">
        <f t="shared" si="3"/>
        <v>-2038000000</v>
      </c>
      <c r="J17" s="53">
        <f t="shared" si="4"/>
        <v>0</v>
      </c>
      <c r="K17" s="53">
        <f t="shared" si="5"/>
        <v>-2038000000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1018</v>
      </c>
      <c r="H18" s="36">
        <f t="shared" si="2"/>
        <v>0</v>
      </c>
      <c r="I18" s="11">
        <f t="shared" si="3"/>
        <v>-305400000</v>
      </c>
      <c r="J18" s="53">
        <f t="shared" si="4"/>
        <v>0</v>
      </c>
      <c r="K18" s="53">
        <f t="shared" si="5"/>
        <v>-305400000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1017</v>
      </c>
      <c r="H19" s="36">
        <f t="shared" si="2"/>
        <v>0</v>
      </c>
      <c r="I19" s="11">
        <f t="shared" si="3"/>
        <v>-203400000</v>
      </c>
      <c r="J19" s="53">
        <f t="shared" si="4"/>
        <v>0</v>
      </c>
      <c r="K19" s="53">
        <f t="shared" si="5"/>
        <v>-203400000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1015</v>
      </c>
      <c r="H20" s="36">
        <f t="shared" si="2"/>
        <v>1</v>
      </c>
      <c r="I20" s="11">
        <f t="shared" si="3"/>
        <v>274884246</v>
      </c>
      <c r="J20" s="53">
        <f t="shared" si="4"/>
        <v>149516328</v>
      </c>
      <c r="K20" s="53">
        <f t="shared" si="5"/>
        <v>125367918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1013</v>
      </c>
      <c r="H21" s="36">
        <f t="shared" si="2"/>
        <v>0</v>
      </c>
      <c r="I21" s="11">
        <f t="shared" si="3"/>
        <v>-1525274100</v>
      </c>
      <c r="J21" s="53">
        <f t="shared" si="4"/>
        <v>0</v>
      </c>
      <c r="K21" s="53">
        <f t="shared" si="5"/>
        <v>-1525274100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1010</v>
      </c>
      <c r="H22" s="36">
        <f t="shared" si="2"/>
        <v>1</v>
      </c>
      <c r="I22" s="11">
        <f t="shared" si="3"/>
        <v>3027000000</v>
      </c>
      <c r="J22" s="53">
        <f t="shared" si="4"/>
        <v>0</v>
      </c>
      <c r="K22" s="53">
        <f t="shared" si="5"/>
        <v>3027000000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1009</v>
      </c>
      <c r="H23" s="36">
        <f t="shared" si="2"/>
        <v>1</v>
      </c>
      <c r="I23" s="11">
        <f t="shared" si="3"/>
        <v>1008000000</v>
      </c>
      <c r="J23" s="53">
        <f t="shared" si="4"/>
        <v>0</v>
      </c>
      <c r="K23" s="53">
        <f t="shared" si="5"/>
        <v>1008000000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1008</v>
      </c>
      <c r="H24" s="36">
        <f t="shared" si="2"/>
        <v>0</v>
      </c>
      <c r="I24" s="11">
        <f t="shared" si="3"/>
        <v>-3024907200</v>
      </c>
      <c r="J24" s="53">
        <f t="shared" si="4"/>
        <v>0</v>
      </c>
      <c r="K24" s="53">
        <f t="shared" si="5"/>
        <v>-3024907200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993</v>
      </c>
      <c r="H25" s="36">
        <f t="shared" si="2"/>
        <v>1</v>
      </c>
      <c r="I25" s="11">
        <f t="shared" si="3"/>
        <v>1488000000</v>
      </c>
      <c r="J25" s="53">
        <f t="shared" si="4"/>
        <v>0</v>
      </c>
      <c r="K25" s="53">
        <f t="shared" si="5"/>
        <v>1488000000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985</v>
      </c>
      <c r="H26" s="36">
        <f t="shared" si="2"/>
        <v>0</v>
      </c>
      <c r="I26" s="11">
        <f t="shared" si="3"/>
        <v>-161540000</v>
      </c>
      <c r="J26" s="53">
        <f t="shared" si="4"/>
        <v>0</v>
      </c>
      <c r="K26" s="53">
        <f t="shared" si="5"/>
        <v>-161540000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984</v>
      </c>
      <c r="H27" s="36">
        <f t="shared" si="2"/>
        <v>1</v>
      </c>
      <c r="I27" s="11">
        <f t="shared" si="3"/>
        <v>196003319</v>
      </c>
      <c r="J27" s="53">
        <f t="shared" si="4"/>
        <v>105586979</v>
      </c>
      <c r="K27" s="53">
        <f t="shared" si="5"/>
        <v>90416340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982</v>
      </c>
      <c r="H28" s="36">
        <f t="shared" si="2"/>
        <v>0</v>
      </c>
      <c r="I28" s="11">
        <f t="shared" si="3"/>
        <v>-217022000</v>
      </c>
      <c r="J28" s="53">
        <f t="shared" si="4"/>
        <v>-217022000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982</v>
      </c>
      <c r="H29" s="36">
        <f t="shared" si="2"/>
        <v>0</v>
      </c>
      <c r="I29" s="11">
        <f t="shared" si="3"/>
        <v>-491491000</v>
      </c>
      <c r="J29" s="53">
        <f t="shared" si="4"/>
        <v>0</v>
      </c>
      <c r="K29" s="53">
        <f t="shared" si="5"/>
        <v>-491491000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982</v>
      </c>
      <c r="H30" s="36">
        <f t="shared" si="2"/>
        <v>0</v>
      </c>
      <c r="I30" s="11">
        <f t="shared" si="3"/>
        <v>-14730000000</v>
      </c>
      <c r="J30" s="53">
        <f t="shared" si="4"/>
        <v>-14730000000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965</v>
      </c>
      <c r="H31" s="36">
        <f t="shared" si="2"/>
        <v>0</v>
      </c>
      <c r="I31" s="11">
        <f t="shared" si="3"/>
        <v>-2905518500</v>
      </c>
      <c r="J31" s="53">
        <f t="shared" si="4"/>
        <v>0</v>
      </c>
      <c r="K31" s="53">
        <f t="shared" si="5"/>
        <v>-2905518500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963</v>
      </c>
      <c r="H32" s="36">
        <f t="shared" si="2"/>
        <v>0</v>
      </c>
      <c r="I32" s="11">
        <f t="shared" si="3"/>
        <v>-2894681700</v>
      </c>
      <c r="J32" s="53">
        <f t="shared" si="4"/>
        <v>0</v>
      </c>
      <c r="K32" s="53">
        <f t="shared" si="5"/>
        <v>-2894681700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962</v>
      </c>
      <c r="H33" s="36">
        <f t="shared" si="2"/>
        <v>0</v>
      </c>
      <c r="I33" s="11">
        <f t="shared" si="3"/>
        <v>-861471000</v>
      </c>
      <c r="J33" s="53">
        <f t="shared" si="4"/>
        <v>0</v>
      </c>
      <c r="K33" s="53">
        <f t="shared" si="5"/>
        <v>-861471000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962</v>
      </c>
      <c r="H34" s="36">
        <f t="shared" si="2"/>
        <v>0</v>
      </c>
      <c r="I34" s="11">
        <f t="shared" si="3"/>
        <v>0</v>
      </c>
      <c r="J34" s="53">
        <f t="shared" si="4"/>
        <v>962000000</v>
      </c>
      <c r="K34" s="53">
        <f t="shared" si="5"/>
        <v>-962000000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953</v>
      </c>
      <c r="H35" s="36">
        <f t="shared" si="2"/>
        <v>1</v>
      </c>
      <c r="I35" s="11">
        <f t="shared" si="3"/>
        <v>49953344</v>
      </c>
      <c r="J35" s="53">
        <f t="shared" si="4"/>
        <v>-20623176</v>
      </c>
      <c r="K35" s="53">
        <f t="shared" si="5"/>
        <v>70576520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953</v>
      </c>
      <c r="H36" s="36">
        <f t="shared" si="2"/>
        <v>0</v>
      </c>
      <c r="I36" s="11">
        <f t="shared" si="3"/>
        <v>0</v>
      </c>
      <c r="J36" s="53">
        <f t="shared" si="4"/>
        <v>20644839</v>
      </c>
      <c r="K36" s="53">
        <f t="shared" si="5"/>
        <v>-20644839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943</v>
      </c>
      <c r="H37" s="36">
        <f t="shared" si="2"/>
        <v>0</v>
      </c>
      <c r="I37" s="11">
        <f t="shared" si="3"/>
        <v>-51865000</v>
      </c>
      <c r="J37" s="53">
        <f t="shared" si="4"/>
        <v>0</v>
      </c>
      <c r="K37" s="53">
        <f t="shared" si="5"/>
        <v>-51865000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942</v>
      </c>
      <c r="H38" s="36">
        <f t="shared" si="2"/>
        <v>1</v>
      </c>
      <c r="I38" s="11">
        <f t="shared" si="3"/>
        <v>2823000000</v>
      </c>
      <c r="J38" s="53">
        <f t="shared" si="4"/>
        <v>2823000000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941</v>
      </c>
      <c r="H39" s="36">
        <f t="shared" si="2"/>
        <v>1</v>
      </c>
      <c r="I39" s="11">
        <f t="shared" si="3"/>
        <v>2350000000</v>
      </c>
      <c r="J39" s="53">
        <f t="shared" si="4"/>
        <v>2350000000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941</v>
      </c>
      <c r="H40" s="36">
        <f t="shared" si="2"/>
        <v>0</v>
      </c>
      <c r="I40" s="11">
        <f t="shared" si="3"/>
        <v>-47050000</v>
      </c>
      <c r="J40" s="53">
        <f t="shared" si="4"/>
        <v>0</v>
      </c>
      <c r="K40" s="53">
        <f t="shared" si="5"/>
        <v>-47050000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941</v>
      </c>
      <c r="H41" s="36">
        <f t="shared" si="2"/>
        <v>1</v>
      </c>
      <c r="I41" s="11">
        <f t="shared" si="3"/>
        <v>2820000000</v>
      </c>
      <c r="J41" s="53">
        <f t="shared" si="4"/>
        <v>0</v>
      </c>
      <c r="K41" s="53">
        <f t="shared" si="5"/>
        <v>2820000000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938</v>
      </c>
      <c r="H42" s="36">
        <f t="shared" si="2"/>
        <v>0</v>
      </c>
      <c r="I42" s="11">
        <f t="shared" si="3"/>
        <v>-83669600</v>
      </c>
      <c r="J42" s="53">
        <f t="shared" si="4"/>
        <v>0</v>
      </c>
      <c r="K42" s="53">
        <f t="shared" si="5"/>
        <v>-83669600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934</v>
      </c>
      <c r="H43" s="36">
        <f t="shared" si="2"/>
        <v>0</v>
      </c>
      <c r="I43" s="11">
        <f t="shared" si="3"/>
        <v>-186800000</v>
      </c>
      <c r="J43" s="53">
        <f t="shared" si="4"/>
        <v>0</v>
      </c>
      <c r="K43" s="53">
        <f t="shared" si="5"/>
        <v>-186800000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932</v>
      </c>
      <c r="H44" s="36">
        <f t="shared" si="2"/>
        <v>0</v>
      </c>
      <c r="I44" s="11">
        <f t="shared" si="3"/>
        <v>-186400000</v>
      </c>
      <c r="J44" s="53">
        <f t="shared" si="4"/>
        <v>0</v>
      </c>
      <c r="K44" s="53">
        <f t="shared" si="5"/>
        <v>-186400000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932</v>
      </c>
      <c r="H45" s="36">
        <f t="shared" si="2"/>
        <v>0</v>
      </c>
      <c r="I45" s="11">
        <f t="shared" si="3"/>
        <v>-521920000</v>
      </c>
      <c r="J45" s="53">
        <f t="shared" si="4"/>
        <v>0</v>
      </c>
      <c r="K45" s="53">
        <f t="shared" si="5"/>
        <v>-521920000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928</v>
      </c>
      <c r="H46" s="36">
        <f t="shared" si="2"/>
        <v>0</v>
      </c>
      <c r="I46" s="11">
        <f t="shared" si="3"/>
        <v>-654704000</v>
      </c>
      <c r="J46" s="53">
        <f t="shared" si="4"/>
        <v>0</v>
      </c>
      <c r="K46" s="53">
        <f t="shared" si="5"/>
        <v>-654704000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922</v>
      </c>
      <c r="H47" s="36">
        <f t="shared" si="2"/>
        <v>1</v>
      </c>
      <c r="I47" s="11">
        <f t="shared" si="3"/>
        <v>37948884</v>
      </c>
      <c r="J47" s="53">
        <f t="shared" si="4"/>
        <v>6182673</v>
      </c>
      <c r="K47" s="53">
        <f t="shared" si="5"/>
        <v>31766211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922</v>
      </c>
      <c r="H48" s="36">
        <f t="shared" si="2"/>
        <v>1</v>
      </c>
      <c r="I48" s="11">
        <f t="shared" si="3"/>
        <v>1570028700</v>
      </c>
      <c r="J48" s="53">
        <f t="shared" si="4"/>
        <v>0</v>
      </c>
      <c r="K48" s="53">
        <f t="shared" si="5"/>
        <v>1570028700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913</v>
      </c>
      <c r="H49" s="36">
        <f t="shared" si="2"/>
        <v>0</v>
      </c>
      <c r="I49" s="11">
        <f t="shared" si="3"/>
        <v>-141515000</v>
      </c>
      <c r="J49" s="53">
        <f t="shared" si="4"/>
        <v>0</v>
      </c>
      <c r="K49" s="53">
        <f t="shared" si="5"/>
        <v>-141515000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913</v>
      </c>
      <c r="H50" s="36">
        <f t="shared" si="2"/>
        <v>0</v>
      </c>
      <c r="I50" s="11">
        <f t="shared" si="3"/>
        <v>-125994000</v>
      </c>
      <c r="J50" s="53">
        <f t="shared" si="4"/>
        <v>0</v>
      </c>
      <c r="K50" s="53">
        <f t="shared" si="5"/>
        <v>-125994000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913</v>
      </c>
      <c r="H51" s="36">
        <f t="shared" si="2"/>
        <v>0</v>
      </c>
      <c r="I51" s="11">
        <f t="shared" si="3"/>
        <v>-675620000</v>
      </c>
      <c r="J51" s="53">
        <f t="shared" si="4"/>
        <v>0</v>
      </c>
      <c r="K51" s="53">
        <f t="shared" si="5"/>
        <v>-675620000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913</v>
      </c>
      <c r="H52" s="36">
        <f t="shared" si="2"/>
        <v>0</v>
      </c>
      <c r="I52" s="11">
        <f t="shared" si="3"/>
        <v>-182600000</v>
      </c>
      <c r="J52" s="53">
        <f t="shared" si="4"/>
        <v>0</v>
      </c>
      <c r="K52" s="53">
        <f t="shared" si="5"/>
        <v>-182600000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912</v>
      </c>
      <c r="H53" s="36">
        <f t="shared" si="2"/>
        <v>0</v>
      </c>
      <c r="I53" s="11">
        <f t="shared" si="3"/>
        <v>-962160000</v>
      </c>
      <c r="J53" s="53">
        <f t="shared" si="4"/>
        <v>0</v>
      </c>
      <c r="K53" s="53">
        <f t="shared" si="5"/>
        <v>-962160000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912</v>
      </c>
      <c r="H54" s="36">
        <f t="shared" si="2"/>
        <v>0</v>
      </c>
      <c r="I54" s="11">
        <f t="shared" si="3"/>
        <v>-182400000</v>
      </c>
      <c r="J54" s="53">
        <f t="shared" si="4"/>
        <v>0</v>
      </c>
      <c r="K54" s="53">
        <f t="shared" si="5"/>
        <v>-182400000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912</v>
      </c>
      <c r="H55" s="36">
        <f t="shared" si="2"/>
        <v>0</v>
      </c>
      <c r="I55" s="11">
        <f t="shared" si="3"/>
        <v>-912456000</v>
      </c>
      <c r="J55" s="53">
        <f t="shared" si="4"/>
        <v>0</v>
      </c>
      <c r="K55" s="53">
        <f t="shared" si="5"/>
        <v>-912456000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912</v>
      </c>
      <c r="H56" s="36">
        <f t="shared" si="2"/>
        <v>0</v>
      </c>
      <c r="I56" s="11">
        <f t="shared" si="3"/>
        <v>-34656000</v>
      </c>
      <c r="J56" s="53">
        <f t="shared" si="4"/>
        <v>0</v>
      </c>
      <c r="K56" s="53">
        <f t="shared" si="5"/>
        <v>-34656000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912</v>
      </c>
      <c r="H57" s="36">
        <f t="shared" si="2"/>
        <v>0</v>
      </c>
      <c r="I57" s="11">
        <f t="shared" si="3"/>
        <v>-95760000</v>
      </c>
      <c r="J57" s="53">
        <f t="shared" si="4"/>
        <v>0</v>
      </c>
      <c r="K57" s="53">
        <f t="shared" si="5"/>
        <v>-95760000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912</v>
      </c>
      <c r="H58" s="36">
        <f t="shared" si="2"/>
        <v>0</v>
      </c>
      <c r="I58" s="11">
        <f t="shared" si="3"/>
        <v>-54720000</v>
      </c>
      <c r="J58" s="53">
        <f t="shared" si="4"/>
        <v>0</v>
      </c>
      <c r="K58" s="53">
        <f t="shared" si="5"/>
        <v>-54720000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909</v>
      </c>
      <c r="H59" s="36">
        <f t="shared" si="2"/>
        <v>1</v>
      </c>
      <c r="I59" s="11">
        <f t="shared" si="3"/>
        <v>908000000</v>
      </c>
      <c r="J59" s="53">
        <f t="shared" si="4"/>
        <v>908000000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908</v>
      </c>
      <c r="H60" s="36">
        <f t="shared" si="2"/>
        <v>1</v>
      </c>
      <c r="I60" s="11">
        <f t="shared" si="3"/>
        <v>3174500000</v>
      </c>
      <c r="J60" s="53">
        <f t="shared" si="4"/>
        <v>3174500000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906</v>
      </c>
      <c r="H61" s="36">
        <f t="shared" si="2"/>
        <v>1</v>
      </c>
      <c r="I61" s="11">
        <f t="shared" si="3"/>
        <v>905000000</v>
      </c>
      <c r="J61" s="53">
        <f t="shared" si="4"/>
        <v>905000000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906</v>
      </c>
      <c r="H62" s="36">
        <f t="shared" si="2"/>
        <v>1</v>
      </c>
      <c r="I62" s="11">
        <f t="shared" si="3"/>
        <v>2715000000</v>
      </c>
      <c r="J62" s="53">
        <f t="shared" si="4"/>
        <v>2715000000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904</v>
      </c>
      <c r="H63" s="36">
        <f t="shared" si="2"/>
        <v>0</v>
      </c>
      <c r="I63" s="11">
        <f t="shared" si="3"/>
        <v>-180800000</v>
      </c>
      <c r="J63" s="53">
        <f t="shared" si="4"/>
        <v>0</v>
      </c>
      <c r="K63" s="53">
        <f t="shared" si="5"/>
        <v>-180800000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899</v>
      </c>
      <c r="H64" s="36">
        <f t="shared" si="2"/>
        <v>0</v>
      </c>
      <c r="I64" s="11">
        <f t="shared" si="3"/>
        <v>-44950000</v>
      </c>
      <c r="J64" s="53">
        <f t="shared" si="4"/>
        <v>0</v>
      </c>
      <c r="K64" s="53">
        <f t="shared" si="5"/>
        <v>-44950000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895</v>
      </c>
      <c r="H65" s="36">
        <f t="shared" si="2"/>
        <v>0</v>
      </c>
      <c r="I65" s="11">
        <f t="shared" si="3"/>
        <v>-179000000</v>
      </c>
      <c r="J65" s="53">
        <f t="shared" si="4"/>
        <v>0</v>
      </c>
      <c r="K65" s="53">
        <f t="shared" si="5"/>
        <v>-179000000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892</v>
      </c>
      <c r="H66" s="36">
        <f t="shared" si="2"/>
        <v>0</v>
      </c>
      <c r="I66" s="11">
        <f t="shared" si="3"/>
        <v>-151640000</v>
      </c>
      <c r="J66" s="53">
        <f t="shared" si="4"/>
        <v>0</v>
      </c>
      <c r="K66" s="53">
        <f t="shared" si="5"/>
        <v>-151640000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891</v>
      </c>
      <c r="H67" s="36">
        <f t="shared" ref="H67:H131" si="8">IF(B67&gt;0,1,0)</f>
        <v>1</v>
      </c>
      <c r="I67" s="11">
        <f t="shared" ref="I67:I119" si="9">B67*(G67-H67)</f>
        <v>81279250</v>
      </c>
      <c r="J67" s="53">
        <f t="shared" ref="J67:J131" si="10">C67*(G67-H67)</f>
        <v>58493470</v>
      </c>
      <c r="K67" s="53">
        <f t="shared" ref="K67:K131" si="11">D67*(G67-H67)</f>
        <v>22785780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873</v>
      </c>
      <c r="H68" s="36">
        <f t="shared" si="8"/>
        <v>0</v>
      </c>
      <c r="I68" s="11">
        <f t="shared" si="9"/>
        <v>-126585000</v>
      </c>
      <c r="J68" s="53">
        <f t="shared" si="10"/>
        <v>0</v>
      </c>
      <c r="K68" s="53">
        <f t="shared" si="11"/>
        <v>-126585000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866</v>
      </c>
      <c r="H69" s="36">
        <f t="shared" si="8"/>
        <v>1</v>
      </c>
      <c r="I69" s="11">
        <f t="shared" si="9"/>
        <v>847700000</v>
      </c>
      <c r="J69" s="53">
        <f t="shared" si="10"/>
        <v>0</v>
      </c>
      <c r="K69" s="53">
        <f t="shared" si="11"/>
        <v>847700000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863</v>
      </c>
      <c r="H70" s="36">
        <f t="shared" si="8"/>
        <v>0</v>
      </c>
      <c r="I70" s="11">
        <f t="shared" si="9"/>
        <v>-39698000</v>
      </c>
      <c r="J70" s="53">
        <f t="shared" si="10"/>
        <v>0</v>
      </c>
      <c r="K70" s="53">
        <f t="shared" si="11"/>
        <v>-39698000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861</v>
      </c>
      <c r="H71" s="36">
        <f t="shared" si="8"/>
        <v>1</v>
      </c>
      <c r="I71" s="11">
        <f t="shared" si="9"/>
        <v>99190680</v>
      </c>
      <c r="J71" s="53">
        <f t="shared" si="10"/>
        <v>89278320</v>
      </c>
      <c r="K71" s="53">
        <f t="shared" si="11"/>
        <v>9912360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860</v>
      </c>
      <c r="H72" s="36">
        <f t="shared" si="8"/>
        <v>0</v>
      </c>
      <c r="I72" s="11">
        <f t="shared" si="9"/>
        <v>-130693340</v>
      </c>
      <c r="J72" s="53">
        <f t="shared" si="10"/>
        <v>0</v>
      </c>
      <c r="K72" s="53">
        <f t="shared" si="11"/>
        <v>-130693340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859</v>
      </c>
      <c r="H73" s="36">
        <f t="shared" si="8"/>
        <v>0</v>
      </c>
      <c r="I73" s="11">
        <f t="shared" si="9"/>
        <v>-691924500</v>
      </c>
      <c r="J73" s="53">
        <f t="shared" si="10"/>
        <v>0</v>
      </c>
      <c r="K73" s="53">
        <f t="shared" si="11"/>
        <v>-691924500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852</v>
      </c>
      <c r="H74" s="36">
        <f t="shared" si="8"/>
        <v>1</v>
      </c>
      <c r="I74" s="11">
        <f t="shared" si="9"/>
        <v>5952745000</v>
      </c>
      <c r="J74" s="53">
        <f t="shared" si="10"/>
        <v>0</v>
      </c>
      <c r="K74" s="53">
        <f t="shared" si="11"/>
        <v>5952745000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851</v>
      </c>
      <c r="H75" s="36">
        <f t="shared" si="8"/>
        <v>1</v>
      </c>
      <c r="I75" s="11">
        <f t="shared" si="9"/>
        <v>2550000000</v>
      </c>
      <c r="J75" s="53">
        <f t="shared" si="10"/>
        <v>0</v>
      </c>
      <c r="K75" s="53">
        <f t="shared" si="11"/>
        <v>2550000000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849</v>
      </c>
      <c r="H76" s="36">
        <f t="shared" si="8"/>
        <v>1</v>
      </c>
      <c r="I76" s="11">
        <f t="shared" si="9"/>
        <v>2544000000</v>
      </c>
      <c r="J76" s="53">
        <f t="shared" si="10"/>
        <v>0</v>
      </c>
      <c r="K76" s="53">
        <f t="shared" si="11"/>
        <v>2544000000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848</v>
      </c>
      <c r="H77" s="36">
        <f t="shared" si="8"/>
        <v>1</v>
      </c>
      <c r="I77" s="11">
        <f t="shared" si="9"/>
        <v>2541000000</v>
      </c>
      <c r="J77" s="53">
        <f t="shared" si="10"/>
        <v>0</v>
      </c>
      <c r="K77" s="53">
        <f t="shared" si="11"/>
        <v>2541000000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847</v>
      </c>
      <c r="H78" s="36">
        <f t="shared" si="8"/>
        <v>0</v>
      </c>
      <c r="I78" s="11">
        <f t="shared" si="9"/>
        <v>-2710400000</v>
      </c>
      <c r="J78" s="53">
        <f t="shared" si="10"/>
        <v>-2710400000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846</v>
      </c>
      <c r="H79" s="36">
        <f t="shared" si="8"/>
        <v>0</v>
      </c>
      <c r="I79" s="11">
        <f t="shared" si="9"/>
        <v>-676800000</v>
      </c>
      <c r="J79" s="53">
        <f t="shared" si="10"/>
        <v>-676800000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845</v>
      </c>
      <c r="H80" s="36">
        <f t="shared" si="8"/>
        <v>0</v>
      </c>
      <c r="I80" s="11">
        <f t="shared" si="9"/>
        <v>-40892085</v>
      </c>
      <c r="J80" s="53">
        <f t="shared" si="10"/>
        <v>0</v>
      </c>
      <c r="K80" s="53">
        <f t="shared" si="11"/>
        <v>-40892085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844</v>
      </c>
      <c r="H81" s="36">
        <f t="shared" si="8"/>
        <v>0</v>
      </c>
      <c r="I81" s="11">
        <f t="shared" si="9"/>
        <v>-118160000</v>
      </c>
      <c r="J81" s="53">
        <f t="shared" si="10"/>
        <v>0</v>
      </c>
      <c r="K81" s="53">
        <f t="shared" si="11"/>
        <v>-118160000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843</v>
      </c>
      <c r="H82" s="36">
        <f t="shared" si="8"/>
        <v>0</v>
      </c>
      <c r="I82" s="11">
        <f t="shared" si="9"/>
        <v>-210750000</v>
      </c>
      <c r="J82" s="53">
        <f t="shared" si="10"/>
        <v>0</v>
      </c>
      <c r="K82" s="53">
        <f t="shared" si="11"/>
        <v>-210750000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842</v>
      </c>
      <c r="H83" s="36">
        <f t="shared" si="8"/>
        <v>0</v>
      </c>
      <c r="I83" s="11">
        <f t="shared" si="9"/>
        <v>-168400000</v>
      </c>
      <c r="J83" s="53">
        <f t="shared" si="10"/>
        <v>0</v>
      </c>
      <c r="K83" s="53">
        <f t="shared" si="11"/>
        <v>-168400000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839</v>
      </c>
      <c r="H84" s="36">
        <f t="shared" si="8"/>
        <v>1</v>
      </c>
      <c r="I84" s="11">
        <f t="shared" si="9"/>
        <v>1370297600</v>
      </c>
      <c r="J84" s="53">
        <f t="shared" si="10"/>
        <v>0</v>
      </c>
      <c r="K84" s="53">
        <f t="shared" si="11"/>
        <v>1370297600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835</v>
      </c>
      <c r="H85" s="36">
        <f t="shared" si="8"/>
        <v>1</v>
      </c>
      <c r="I85" s="11">
        <f t="shared" si="9"/>
        <v>2085000000</v>
      </c>
      <c r="J85" s="53">
        <f t="shared" si="10"/>
        <v>0</v>
      </c>
      <c r="K85" s="53">
        <f t="shared" si="11"/>
        <v>2085000000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831</v>
      </c>
      <c r="H86" s="36">
        <f t="shared" si="8"/>
        <v>1</v>
      </c>
      <c r="I86" s="11">
        <f t="shared" si="9"/>
        <v>154629000</v>
      </c>
      <c r="J86" s="53">
        <f t="shared" si="10"/>
        <v>70508500</v>
      </c>
      <c r="K86" s="53">
        <f t="shared" si="11"/>
        <v>84120500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828</v>
      </c>
      <c r="H87" s="36">
        <f t="shared" si="8"/>
        <v>0</v>
      </c>
      <c r="I87" s="11">
        <f t="shared" si="9"/>
        <v>-165600000</v>
      </c>
      <c r="J87" s="53">
        <f t="shared" si="10"/>
        <v>0</v>
      </c>
      <c r="K87" s="53">
        <f t="shared" si="11"/>
        <v>-165600000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827</v>
      </c>
      <c r="H88" s="36">
        <f t="shared" si="8"/>
        <v>0</v>
      </c>
      <c r="I88" s="11">
        <f t="shared" si="9"/>
        <v>-97586000</v>
      </c>
      <c r="J88" s="53">
        <f t="shared" si="10"/>
        <v>-57063000</v>
      </c>
      <c r="K88" s="53">
        <f t="shared" si="11"/>
        <v>-40523000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819</v>
      </c>
      <c r="H89" s="36">
        <f t="shared" si="8"/>
        <v>0</v>
      </c>
      <c r="I89" s="11">
        <f t="shared" si="9"/>
        <v>-2621537100</v>
      </c>
      <c r="J89" s="53">
        <f t="shared" si="10"/>
        <v>0</v>
      </c>
      <c r="K89" s="53">
        <f t="shared" si="11"/>
        <v>-2621537100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818</v>
      </c>
      <c r="H90" s="36">
        <f t="shared" si="8"/>
        <v>0</v>
      </c>
      <c r="I90" s="11">
        <f t="shared" si="9"/>
        <v>-2618336200</v>
      </c>
      <c r="J90" s="53">
        <f t="shared" si="10"/>
        <v>0</v>
      </c>
      <c r="K90" s="53">
        <f t="shared" si="11"/>
        <v>-2618336200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817</v>
      </c>
      <c r="H91" s="36">
        <f t="shared" si="8"/>
        <v>0</v>
      </c>
      <c r="I91" s="11">
        <f t="shared" si="9"/>
        <v>-2615135300</v>
      </c>
      <c r="J91" s="53">
        <f t="shared" si="10"/>
        <v>0</v>
      </c>
      <c r="K91" s="53">
        <f t="shared" si="11"/>
        <v>-2615135300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816</v>
      </c>
      <c r="H92" s="36">
        <f t="shared" si="8"/>
        <v>0</v>
      </c>
      <c r="I92" s="11">
        <f t="shared" si="9"/>
        <v>-2611934400</v>
      </c>
      <c r="J92" s="53">
        <f t="shared" si="10"/>
        <v>0</v>
      </c>
      <c r="K92" s="53">
        <f t="shared" si="11"/>
        <v>-2611934400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815</v>
      </c>
      <c r="H93" s="36">
        <f t="shared" si="8"/>
        <v>0</v>
      </c>
      <c r="I93" s="11">
        <f t="shared" si="9"/>
        <v>-2608733500</v>
      </c>
      <c r="J93" s="53">
        <f t="shared" si="10"/>
        <v>0</v>
      </c>
      <c r="K93" s="53">
        <f t="shared" si="11"/>
        <v>-2608733500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814</v>
      </c>
      <c r="H94" s="36">
        <f t="shared" si="8"/>
        <v>0</v>
      </c>
      <c r="I94" s="11">
        <f t="shared" si="9"/>
        <v>-2605532600</v>
      </c>
      <c r="J94" s="53">
        <f t="shared" si="10"/>
        <v>0</v>
      </c>
      <c r="K94" s="53">
        <f t="shared" si="11"/>
        <v>-2605532600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812</v>
      </c>
      <c r="H95" s="36">
        <f t="shared" si="8"/>
        <v>0</v>
      </c>
      <c r="I95" s="11">
        <f t="shared" si="9"/>
        <v>-971635952</v>
      </c>
      <c r="J95" s="53">
        <f t="shared" si="10"/>
        <v>0</v>
      </c>
      <c r="K95" s="53">
        <f t="shared" si="11"/>
        <v>-971635952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802</v>
      </c>
      <c r="H96" s="36">
        <f t="shared" si="8"/>
        <v>0</v>
      </c>
      <c r="I96" s="11">
        <f t="shared" si="9"/>
        <v>-160400000</v>
      </c>
      <c r="J96" s="53">
        <f t="shared" si="10"/>
        <v>0</v>
      </c>
      <c r="K96" s="53">
        <f t="shared" si="11"/>
        <v>-160400000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801</v>
      </c>
      <c r="H97" s="36">
        <f t="shared" si="8"/>
        <v>1</v>
      </c>
      <c r="I97" s="11">
        <f t="shared" si="9"/>
        <v>127646400</v>
      </c>
      <c r="J97" s="53">
        <f t="shared" si="10"/>
        <v>55140800</v>
      </c>
      <c r="K97" s="53">
        <f t="shared" si="11"/>
        <v>72505600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796</v>
      </c>
      <c r="H98" s="36">
        <f t="shared" si="8"/>
        <v>1</v>
      </c>
      <c r="I98" s="11">
        <f t="shared" si="9"/>
        <v>90922560</v>
      </c>
      <c r="J98" s="53">
        <f t="shared" si="10"/>
        <v>0</v>
      </c>
      <c r="K98" s="53">
        <f t="shared" si="11"/>
        <v>90922560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793</v>
      </c>
      <c r="H99" s="36">
        <f t="shared" si="8"/>
        <v>0</v>
      </c>
      <c r="I99" s="11">
        <f t="shared" si="9"/>
        <v>-1050725000</v>
      </c>
      <c r="J99" s="53">
        <f t="shared" si="10"/>
        <v>0</v>
      </c>
      <c r="K99" s="53">
        <f t="shared" si="11"/>
        <v>-1050725000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788</v>
      </c>
      <c r="H100" s="36">
        <f t="shared" si="8"/>
        <v>1</v>
      </c>
      <c r="I100" s="11">
        <f t="shared" si="9"/>
        <v>1042775000</v>
      </c>
      <c r="J100" s="53">
        <f t="shared" si="10"/>
        <v>0</v>
      </c>
      <c r="K100" s="53">
        <f t="shared" si="11"/>
        <v>1042775000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771</v>
      </c>
      <c r="H101" s="36">
        <f t="shared" si="8"/>
        <v>1</v>
      </c>
      <c r="I101" s="11">
        <f t="shared" si="9"/>
        <v>51470650</v>
      </c>
      <c r="J101" s="53">
        <f t="shared" si="10"/>
        <v>51470650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768</v>
      </c>
      <c r="H102" s="36">
        <f t="shared" si="8"/>
        <v>1</v>
      </c>
      <c r="I102" s="11">
        <f t="shared" si="9"/>
        <v>2301000000</v>
      </c>
      <c r="J102" s="53">
        <f t="shared" si="10"/>
        <v>0</v>
      </c>
      <c r="K102" s="53">
        <f t="shared" si="11"/>
        <v>2301000000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761</v>
      </c>
      <c r="H103" s="36">
        <f t="shared" si="8"/>
        <v>0</v>
      </c>
      <c r="I103" s="11">
        <f t="shared" si="9"/>
        <v>-761000000</v>
      </c>
      <c r="J103" s="53">
        <f t="shared" si="10"/>
        <v>-761000000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751</v>
      </c>
      <c r="H104" s="36">
        <f t="shared" si="8"/>
        <v>1</v>
      </c>
      <c r="I104" s="11">
        <f t="shared" si="9"/>
        <v>2250000000</v>
      </c>
      <c r="J104" s="53">
        <f t="shared" si="10"/>
        <v>2250000000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750</v>
      </c>
      <c r="H105" s="36">
        <f t="shared" si="8"/>
        <v>1</v>
      </c>
      <c r="I105" s="11">
        <f t="shared" si="9"/>
        <v>838880000</v>
      </c>
      <c r="J105" s="53">
        <f t="shared" si="10"/>
        <v>838880000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750</v>
      </c>
      <c r="H106" s="36">
        <f t="shared" si="8"/>
        <v>0</v>
      </c>
      <c r="I106" s="11">
        <f t="shared" si="9"/>
        <v>-2250000000</v>
      </c>
      <c r="J106" s="53">
        <f t="shared" si="10"/>
        <v>0</v>
      </c>
      <c r="K106" s="53">
        <f t="shared" si="11"/>
        <v>-2250000000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741</v>
      </c>
      <c r="H107" s="36">
        <f t="shared" si="8"/>
        <v>1</v>
      </c>
      <c r="I107" s="11">
        <f t="shared" si="9"/>
        <v>66965560</v>
      </c>
      <c r="J107" s="53">
        <f t="shared" si="10"/>
        <v>55585100</v>
      </c>
      <c r="K107" s="53">
        <f t="shared" si="11"/>
        <v>11380460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739</v>
      </c>
      <c r="H108" s="36">
        <f t="shared" si="8"/>
        <v>0</v>
      </c>
      <c r="I108" s="11">
        <f t="shared" si="9"/>
        <v>-1256817300</v>
      </c>
      <c r="J108" s="53">
        <f t="shared" si="10"/>
        <v>0</v>
      </c>
      <c r="K108" s="53">
        <f t="shared" si="11"/>
        <v>-1256817300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735</v>
      </c>
      <c r="H109" s="36">
        <f t="shared" si="8"/>
        <v>0</v>
      </c>
      <c r="I109" s="11">
        <f t="shared" si="9"/>
        <v>-735367500</v>
      </c>
      <c r="J109" s="53">
        <f t="shared" si="10"/>
        <v>0</v>
      </c>
      <c r="K109" s="53">
        <f t="shared" si="11"/>
        <v>-735367500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732</v>
      </c>
      <c r="H110" s="36">
        <f t="shared" si="8"/>
        <v>1</v>
      </c>
      <c r="I110" s="11">
        <f t="shared" si="9"/>
        <v>14620000000</v>
      </c>
      <c r="J110" s="53">
        <f t="shared" si="10"/>
        <v>0</v>
      </c>
      <c r="K110" s="53">
        <f t="shared" si="11"/>
        <v>14620000000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712</v>
      </c>
      <c r="H111" s="36">
        <f t="shared" si="8"/>
        <v>1</v>
      </c>
      <c r="I111" s="11">
        <f t="shared" si="9"/>
        <v>124196058</v>
      </c>
      <c r="J111" s="53">
        <f t="shared" si="10"/>
        <v>62115093</v>
      </c>
      <c r="K111" s="53">
        <f t="shared" si="11"/>
        <v>62080965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696</v>
      </c>
      <c r="H112" s="36">
        <f t="shared" si="8"/>
        <v>0</v>
      </c>
      <c r="I112" s="11">
        <f t="shared" si="9"/>
        <v>-19766400000</v>
      </c>
      <c r="J112" s="53">
        <f t="shared" si="10"/>
        <v>0</v>
      </c>
      <c r="K112" s="53">
        <f t="shared" si="11"/>
        <v>-19766400000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681</v>
      </c>
      <c r="H113" s="36">
        <f t="shared" si="8"/>
        <v>1</v>
      </c>
      <c r="I113" s="11">
        <f t="shared" si="9"/>
        <v>110867200</v>
      </c>
      <c r="J113" s="53">
        <f t="shared" si="10"/>
        <v>83307480</v>
      </c>
      <c r="K113" s="53">
        <f t="shared" si="11"/>
        <v>27559720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681</v>
      </c>
      <c r="H114" s="36">
        <f t="shared" si="8"/>
        <v>0</v>
      </c>
      <c r="I114" s="11">
        <f t="shared" si="9"/>
        <v>-3881700</v>
      </c>
      <c r="J114" s="53">
        <f t="shared" si="10"/>
        <v>-1702500</v>
      </c>
      <c r="K114" s="53">
        <f t="shared" si="11"/>
        <v>-2179200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668</v>
      </c>
      <c r="H115" s="36">
        <f t="shared" si="8"/>
        <v>0</v>
      </c>
      <c r="I115" s="11">
        <f t="shared" si="9"/>
        <v>0</v>
      </c>
      <c r="J115" s="53">
        <f t="shared" si="10"/>
        <v>334000000</v>
      </c>
      <c r="K115" s="53">
        <f t="shared" si="11"/>
        <v>-334000000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660</v>
      </c>
      <c r="H116" s="36">
        <f t="shared" si="8"/>
        <v>0</v>
      </c>
      <c r="I116" s="11">
        <f t="shared" si="9"/>
        <v>-105600000</v>
      </c>
      <c r="J116" s="53">
        <f t="shared" si="10"/>
        <v>0</v>
      </c>
      <c r="K116" s="53">
        <f t="shared" si="11"/>
        <v>-105600000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651</v>
      </c>
      <c r="H117" s="36">
        <f t="shared" si="8"/>
        <v>1</v>
      </c>
      <c r="I117" s="11">
        <f t="shared" si="9"/>
        <v>962000</v>
      </c>
      <c r="J117" s="53">
        <f t="shared" si="10"/>
        <v>69511650</v>
      </c>
      <c r="K117" s="53">
        <f t="shared" si="11"/>
        <v>-68549650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629</v>
      </c>
      <c r="H118" s="36">
        <f t="shared" si="8"/>
        <v>1</v>
      </c>
      <c r="I118" s="11">
        <f t="shared" si="9"/>
        <v>24742886000</v>
      </c>
      <c r="J118" s="53">
        <f t="shared" si="10"/>
        <v>0</v>
      </c>
      <c r="K118" s="53">
        <f t="shared" si="11"/>
        <v>24742886000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620</v>
      </c>
      <c r="H119" s="36">
        <f t="shared" si="8"/>
        <v>1</v>
      </c>
      <c r="I119" s="11">
        <f t="shared" si="9"/>
        <v>59127499</v>
      </c>
      <c r="J119" s="53">
        <f t="shared" si="10"/>
        <v>68123426</v>
      </c>
      <c r="K119" s="53">
        <f t="shared" si="11"/>
        <v>-8995927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616</v>
      </c>
      <c r="H120" s="11">
        <f t="shared" si="8"/>
        <v>1</v>
      </c>
      <c r="I120" s="11">
        <f t="shared" ref="I120:I296" si="13">B120*(G120-H120)</f>
        <v>1230000000</v>
      </c>
      <c r="J120" s="11">
        <f t="shared" si="10"/>
        <v>0</v>
      </c>
      <c r="K120" s="11">
        <f t="shared" si="11"/>
        <v>1230000000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590</v>
      </c>
      <c r="H121" s="11">
        <f t="shared" si="8"/>
        <v>1</v>
      </c>
      <c r="I121" s="11">
        <f t="shared" si="13"/>
        <v>1531400000</v>
      </c>
      <c r="J121" s="11">
        <f t="shared" si="10"/>
        <v>0</v>
      </c>
      <c r="K121" s="11">
        <f t="shared" si="11"/>
        <v>1531400000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589</v>
      </c>
      <c r="H122" s="11">
        <f t="shared" si="8"/>
        <v>1</v>
      </c>
      <c r="I122" s="11">
        <f t="shared" si="13"/>
        <v>226115988</v>
      </c>
      <c r="J122" s="11">
        <f t="shared" si="10"/>
        <v>65213904</v>
      </c>
      <c r="K122" s="11">
        <f t="shared" si="11"/>
        <v>160902084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588</v>
      </c>
      <c r="H123" s="11">
        <f t="shared" si="8"/>
        <v>0</v>
      </c>
      <c r="I123" s="11">
        <f t="shared" si="13"/>
        <v>0</v>
      </c>
      <c r="J123" s="11">
        <f t="shared" si="10"/>
        <v>470400000</v>
      </c>
      <c r="K123" s="11">
        <f t="shared" si="11"/>
        <v>-470400000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574</v>
      </c>
      <c r="H124" s="11">
        <f t="shared" si="8"/>
        <v>0</v>
      </c>
      <c r="I124" s="11">
        <f t="shared" si="13"/>
        <v>-1722000000</v>
      </c>
      <c r="J124" s="11">
        <f t="shared" si="10"/>
        <v>0</v>
      </c>
      <c r="K124" s="11">
        <f t="shared" si="11"/>
        <v>-1722000000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559</v>
      </c>
      <c r="H125" s="11">
        <f t="shared" si="8"/>
        <v>1</v>
      </c>
      <c r="I125" s="11">
        <f t="shared" si="13"/>
        <v>223596180</v>
      </c>
      <c r="J125" s="11">
        <f t="shared" si="10"/>
        <v>66332250</v>
      </c>
      <c r="K125" s="11">
        <f t="shared" si="11"/>
        <v>157263930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559</v>
      </c>
      <c r="H126" s="11">
        <f t="shared" si="8"/>
        <v>1</v>
      </c>
      <c r="I126" s="11">
        <f t="shared" si="13"/>
        <v>23436000000</v>
      </c>
      <c r="J126" s="11">
        <f t="shared" si="10"/>
        <v>0</v>
      </c>
      <c r="K126" s="11">
        <f t="shared" si="11"/>
        <v>23436000000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534</v>
      </c>
      <c r="H127" s="11">
        <f t="shared" si="8"/>
        <v>0</v>
      </c>
      <c r="I127" s="11">
        <f t="shared" si="13"/>
        <v>-2670000</v>
      </c>
      <c r="J127" s="11">
        <f t="shared" si="10"/>
        <v>0</v>
      </c>
      <c r="K127" s="11">
        <f t="shared" si="11"/>
        <v>-2670000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528</v>
      </c>
      <c r="H128" s="11">
        <f t="shared" si="8"/>
        <v>1</v>
      </c>
      <c r="I128" s="11">
        <f t="shared" si="13"/>
        <v>406514098</v>
      </c>
      <c r="J128" s="11">
        <f t="shared" si="10"/>
        <v>63607319</v>
      </c>
      <c r="K128" s="11">
        <f t="shared" si="11"/>
        <v>342906779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525</v>
      </c>
      <c r="H129" s="11">
        <f t="shared" si="8"/>
        <v>1</v>
      </c>
      <c r="I129" s="11">
        <f t="shared" si="13"/>
        <v>1310000000</v>
      </c>
      <c r="J129" s="11">
        <f t="shared" si="10"/>
        <v>0</v>
      </c>
      <c r="K129" s="11">
        <f t="shared" si="11"/>
        <v>1310000000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511</v>
      </c>
      <c r="H130" s="11">
        <f t="shared" si="8"/>
        <v>0</v>
      </c>
      <c r="I130" s="11">
        <f t="shared" si="13"/>
        <v>-511000000</v>
      </c>
      <c r="J130" s="11">
        <f t="shared" si="10"/>
        <v>-511000000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506</v>
      </c>
      <c r="H131" s="11">
        <f t="shared" si="8"/>
        <v>0</v>
      </c>
      <c r="I131" s="11">
        <f t="shared" si="13"/>
        <v>-25300000000</v>
      </c>
      <c r="J131" s="11">
        <f t="shared" si="10"/>
        <v>0</v>
      </c>
      <c r="K131" s="11">
        <f t="shared" si="11"/>
        <v>-25300000000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498</v>
      </c>
      <c r="H132" s="11">
        <f t="shared" ref="H132:H308" si="15">IF(B132&gt;0,1,0)</f>
        <v>1</v>
      </c>
      <c r="I132" s="11">
        <f t="shared" si="13"/>
        <v>305300639</v>
      </c>
      <c r="J132" s="11">
        <f t="shared" ref="J132:J206" si="16">C132*(G132-H132)</f>
        <v>52667587</v>
      </c>
      <c r="K132" s="11">
        <f t="shared" ref="K132:K281" si="17">D132*(G132-H132)</f>
        <v>252633052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494</v>
      </c>
      <c r="H133" s="11">
        <f t="shared" si="15"/>
        <v>0</v>
      </c>
      <c r="I133" s="11">
        <f t="shared" si="13"/>
        <v>-598085800</v>
      </c>
      <c r="J133" s="11">
        <f t="shared" si="16"/>
        <v>0</v>
      </c>
      <c r="K133" s="11">
        <f t="shared" si="17"/>
        <v>-598085800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485</v>
      </c>
      <c r="H134" s="11">
        <f t="shared" si="15"/>
        <v>0</v>
      </c>
      <c r="I134" s="11">
        <f t="shared" si="13"/>
        <v>-31525000</v>
      </c>
      <c r="J134" s="11">
        <f t="shared" si="16"/>
        <v>0</v>
      </c>
      <c r="K134" s="11">
        <f t="shared" si="17"/>
        <v>-31525000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485</v>
      </c>
      <c r="H135" s="11">
        <f t="shared" si="15"/>
        <v>0</v>
      </c>
      <c r="I135" s="11">
        <f t="shared" si="13"/>
        <v>-15665500</v>
      </c>
      <c r="J135" s="11">
        <f t="shared" si="16"/>
        <v>0</v>
      </c>
      <c r="K135" s="11">
        <f t="shared" si="17"/>
        <v>-15665500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477</v>
      </c>
      <c r="H136" s="11">
        <f t="shared" si="15"/>
        <v>0</v>
      </c>
      <c r="I136" s="11">
        <f t="shared" si="13"/>
        <v>-477000000</v>
      </c>
      <c r="J136" s="11">
        <f t="shared" si="16"/>
        <v>-477000000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468</v>
      </c>
      <c r="H137" s="11">
        <f t="shared" si="15"/>
        <v>1</v>
      </c>
      <c r="I137" s="11">
        <f t="shared" si="13"/>
        <v>135837691</v>
      </c>
      <c r="J137" s="11">
        <f t="shared" si="16"/>
        <v>45466653</v>
      </c>
      <c r="K137" s="11">
        <f t="shared" si="17"/>
        <v>90371038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451</v>
      </c>
      <c r="H138" s="11">
        <f t="shared" si="15"/>
        <v>0</v>
      </c>
      <c r="I138" s="11">
        <f t="shared" si="13"/>
        <v>-451225500</v>
      </c>
      <c r="J138" s="11">
        <f t="shared" si="16"/>
        <v>-451225500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439</v>
      </c>
      <c r="H139" s="11">
        <f t="shared" si="15"/>
        <v>1</v>
      </c>
      <c r="I139" s="11">
        <f t="shared" si="13"/>
        <v>123621120</v>
      </c>
      <c r="J139" s="11">
        <f t="shared" si="16"/>
        <v>38897466</v>
      </c>
      <c r="K139" s="11">
        <f t="shared" si="17"/>
        <v>84723654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436</v>
      </c>
      <c r="H140" s="11">
        <f t="shared" si="15"/>
        <v>1</v>
      </c>
      <c r="I140" s="11">
        <f t="shared" si="13"/>
        <v>652500000</v>
      </c>
      <c r="J140" s="11">
        <f t="shared" si="16"/>
        <v>0</v>
      </c>
      <c r="K140" s="11">
        <f t="shared" si="17"/>
        <v>652500000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423</v>
      </c>
      <c r="H141" s="11">
        <f t="shared" si="15"/>
        <v>0</v>
      </c>
      <c r="I141" s="11">
        <f t="shared" si="13"/>
        <v>0</v>
      </c>
      <c r="J141" s="11">
        <f t="shared" si="16"/>
        <v>-423000000</v>
      </c>
      <c r="K141" s="11">
        <f t="shared" si="17"/>
        <v>423000000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409</v>
      </c>
      <c r="H142" s="11">
        <f t="shared" si="15"/>
        <v>1</v>
      </c>
      <c r="I142" s="11">
        <f t="shared" si="13"/>
        <v>118684344</v>
      </c>
      <c r="J142" s="11">
        <f t="shared" si="16"/>
        <v>33056976</v>
      </c>
      <c r="K142" s="11">
        <f t="shared" si="17"/>
        <v>85627368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389</v>
      </c>
      <c r="H143" s="11">
        <f t="shared" si="15"/>
        <v>0</v>
      </c>
      <c r="I143" s="11">
        <f t="shared" si="13"/>
        <v>0</v>
      </c>
      <c r="J143" s="11">
        <f t="shared" si="16"/>
        <v>-389000000</v>
      </c>
      <c r="K143" s="11">
        <f t="shared" si="17"/>
        <v>389000000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379</v>
      </c>
      <c r="H144" s="11">
        <f t="shared" si="15"/>
        <v>1</v>
      </c>
      <c r="I144" s="11">
        <f t="shared" si="13"/>
        <v>111454056</v>
      </c>
      <c r="J144" s="11">
        <f t="shared" si="16"/>
        <v>28220346</v>
      </c>
      <c r="K144" s="11">
        <f t="shared" si="17"/>
        <v>83233710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364</v>
      </c>
      <c r="H145" s="11">
        <f t="shared" si="15"/>
        <v>0</v>
      </c>
      <c r="I145" s="11">
        <f t="shared" si="13"/>
        <v>-3640000</v>
      </c>
      <c r="J145" s="11">
        <f t="shared" si="16"/>
        <v>-1820000</v>
      </c>
      <c r="K145" s="11">
        <f t="shared" si="17"/>
        <v>-1820000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359</v>
      </c>
      <c r="H146" s="11">
        <f t="shared" si="15"/>
        <v>0</v>
      </c>
      <c r="I146" s="11">
        <f t="shared" si="13"/>
        <v>-359179500</v>
      </c>
      <c r="J146" s="11">
        <f t="shared" si="16"/>
        <v>-359179500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353</v>
      </c>
      <c r="H147" s="11">
        <f t="shared" si="15"/>
        <v>0</v>
      </c>
      <c r="I147" s="11">
        <f t="shared" si="13"/>
        <v>-9531000000</v>
      </c>
      <c r="J147" s="11">
        <f t="shared" si="16"/>
        <v>0</v>
      </c>
      <c r="K147" s="11">
        <f t="shared" si="17"/>
        <v>-9531000000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350</v>
      </c>
      <c r="H148" s="11">
        <f t="shared" si="15"/>
        <v>1</v>
      </c>
      <c r="I148" s="11">
        <f t="shared" si="13"/>
        <v>88100164</v>
      </c>
      <c r="J148" s="11">
        <f t="shared" si="16"/>
        <v>22862990</v>
      </c>
      <c r="K148" s="11">
        <f t="shared" si="17"/>
        <v>65237174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342</v>
      </c>
      <c r="H149" s="11">
        <f t="shared" si="15"/>
        <v>1</v>
      </c>
      <c r="I149" s="11">
        <f t="shared" si="13"/>
        <v>17868400000</v>
      </c>
      <c r="J149" s="11">
        <f t="shared" si="16"/>
        <v>0</v>
      </c>
      <c r="K149" s="11">
        <f t="shared" si="17"/>
        <v>17868400000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335</v>
      </c>
      <c r="H150" s="11">
        <f t="shared" si="15"/>
        <v>0</v>
      </c>
      <c r="I150" s="11">
        <f t="shared" si="13"/>
        <v>-17420000000</v>
      </c>
      <c r="J150" s="11">
        <f t="shared" si="16"/>
        <v>0</v>
      </c>
      <c r="K150" s="11">
        <f t="shared" si="17"/>
        <v>-17420000000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330</v>
      </c>
      <c r="H151" s="99">
        <f t="shared" si="15"/>
        <v>0</v>
      </c>
      <c r="I151" s="99">
        <f t="shared" si="13"/>
        <v>-2640000000</v>
      </c>
      <c r="J151" s="99">
        <f t="shared" si="16"/>
        <v>-2234803230</v>
      </c>
      <c r="K151" s="11">
        <f t="shared" si="17"/>
        <v>-405196770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330</v>
      </c>
      <c r="H152" s="99">
        <f t="shared" si="15"/>
        <v>0</v>
      </c>
      <c r="I152" s="99">
        <f t="shared" si="13"/>
        <v>-10305900</v>
      </c>
      <c r="J152" s="99">
        <f t="shared" si="16"/>
        <v>0</v>
      </c>
      <c r="K152" s="99">
        <f t="shared" si="17"/>
        <v>-10305900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319</v>
      </c>
      <c r="H153" s="99">
        <f t="shared" si="15"/>
        <v>1</v>
      </c>
      <c r="I153" s="99">
        <f t="shared" si="13"/>
        <v>42957666</v>
      </c>
      <c r="J153" s="99">
        <f t="shared" si="16"/>
        <v>13079340</v>
      </c>
      <c r="K153" s="99">
        <f t="shared" si="17"/>
        <v>29878326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316</v>
      </c>
      <c r="H154" s="99">
        <f t="shared" si="15"/>
        <v>1</v>
      </c>
      <c r="I154" s="99">
        <f t="shared" si="13"/>
        <v>2149585830</v>
      </c>
      <c r="J154" s="99">
        <f t="shared" si="16"/>
        <v>2149585830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311</v>
      </c>
      <c r="H155" s="99">
        <f t="shared" si="15"/>
        <v>0</v>
      </c>
      <c r="I155" s="99">
        <f t="shared" si="13"/>
        <v>-62200000</v>
      </c>
      <c r="J155" s="99">
        <f t="shared" si="16"/>
        <v>0</v>
      </c>
      <c r="K155" s="99">
        <f t="shared" si="17"/>
        <v>-62200000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311</v>
      </c>
      <c r="H156" s="99">
        <f t="shared" si="15"/>
        <v>0</v>
      </c>
      <c r="I156" s="99">
        <f t="shared" si="13"/>
        <v>-77078240</v>
      </c>
      <c r="J156" s="99">
        <f t="shared" si="16"/>
        <v>0</v>
      </c>
      <c r="K156" s="99">
        <f t="shared" si="17"/>
        <v>-77078240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310</v>
      </c>
      <c r="H157" s="99">
        <f t="shared" si="15"/>
        <v>0</v>
      </c>
      <c r="I157" s="99">
        <f t="shared" si="13"/>
        <v>-50325400</v>
      </c>
      <c r="J157" s="99">
        <f t="shared" si="16"/>
        <v>0</v>
      </c>
      <c r="K157" s="99">
        <f t="shared" si="17"/>
        <v>-50325400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310</v>
      </c>
      <c r="H158" s="99">
        <f t="shared" si="15"/>
        <v>0</v>
      </c>
      <c r="I158" s="99">
        <f t="shared" si="13"/>
        <v>-930279000</v>
      </c>
      <c r="J158" s="99">
        <f t="shared" si="16"/>
        <v>0</v>
      </c>
      <c r="K158" s="99">
        <f t="shared" si="17"/>
        <v>-930279000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308</v>
      </c>
      <c r="H159" s="99">
        <f t="shared" si="15"/>
        <v>0</v>
      </c>
      <c r="I159" s="99">
        <f t="shared" si="13"/>
        <v>-308154000</v>
      </c>
      <c r="J159" s="99">
        <f t="shared" si="16"/>
        <v>0</v>
      </c>
      <c r="K159" s="99">
        <f t="shared" si="17"/>
        <v>-308154000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304</v>
      </c>
      <c r="H160" s="99">
        <f t="shared" si="15"/>
        <v>0</v>
      </c>
      <c r="I160" s="99">
        <f t="shared" si="13"/>
        <v>-30400000</v>
      </c>
      <c r="J160" s="99">
        <f t="shared" si="16"/>
        <v>0</v>
      </c>
      <c r="K160" s="99">
        <f t="shared" si="17"/>
        <v>-30400000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303</v>
      </c>
      <c r="H161" s="99">
        <f t="shared" si="15"/>
        <v>0</v>
      </c>
      <c r="I161" s="99">
        <f t="shared" si="13"/>
        <v>-606000000</v>
      </c>
      <c r="J161" s="99">
        <f t="shared" si="16"/>
        <v>0</v>
      </c>
      <c r="K161" s="99">
        <f t="shared" si="17"/>
        <v>-606000000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303</v>
      </c>
      <c r="H162" s="99">
        <f t="shared" si="15"/>
        <v>0</v>
      </c>
      <c r="I162" s="99">
        <f t="shared" si="13"/>
        <v>-303151500</v>
      </c>
      <c r="J162" s="99">
        <f t="shared" si="16"/>
        <v>0</v>
      </c>
      <c r="K162" s="99">
        <f t="shared" si="17"/>
        <v>-303151500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300</v>
      </c>
      <c r="H163" s="99">
        <f t="shared" si="15"/>
        <v>0</v>
      </c>
      <c r="I163" s="99">
        <f t="shared" si="13"/>
        <v>-1500000</v>
      </c>
      <c r="J163" s="99">
        <f t="shared" si="16"/>
        <v>0</v>
      </c>
      <c r="K163" s="99">
        <f t="shared" si="17"/>
        <v>-1500000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290</v>
      </c>
      <c r="H164" s="99">
        <f t="shared" si="15"/>
        <v>1</v>
      </c>
      <c r="I164" s="99">
        <f t="shared" si="13"/>
        <v>867000000</v>
      </c>
      <c r="J164" s="99">
        <f t="shared" si="16"/>
        <v>0</v>
      </c>
      <c r="K164" s="99">
        <f t="shared" si="17"/>
        <v>867000000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289</v>
      </c>
      <c r="H165" s="99">
        <f t="shared" si="15"/>
        <v>1</v>
      </c>
      <c r="I165" s="99">
        <f t="shared" si="13"/>
        <v>864000000</v>
      </c>
      <c r="J165" s="99">
        <f t="shared" si="16"/>
        <v>0</v>
      </c>
      <c r="K165" s="99">
        <f t="shared" si="17"/>
        <v>864000000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288</v>
      </c>
      <c r="H166" s="99">
        <f t="shared" si="15"/>
        <v>1</v>
      </c>
      <c r="I166" s="99">
        <f t="shared" si="13"/>
        <v>5830118</v>
      </c>
      <c r="J166" s="99">
        <f t="shared" si="16"/>
        <v>17174654</v>
      </c>
      <c r="K166" s="99">
        <f t="shared" si="17"/>
        <v>-11344536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283</v>
      </c>
      <c r="H167" s="99">
        <f t="shared" si="15"/>
        <v>0</v>
      </c>
      <c r="I167" s="99">
        <f t="shared" si="13"/>
        <v>-849254700</v>
      </c>
      <c r="J167" s="99">
        <f t="shared" si="16"/>
        <v>0</v>
      </c>
      <c r="K167" s="99">
        <f t="shared" si="17"/>
        <v>-849254700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265</v>
      </c>
      <c r="H168" s="99">
        <f t="shared" si="15"/>
        <v>0</v>
      </c>
      <c r="I168" s="99">
        <f t="shared" si="13"/>
        <v>-795238500</v>
      </c>
      <c r="J168" s="99">
        <f t="shared" si="16"/>
        <v>0</v>
      </c>
      <c r="K168" s="99">
        <f t="shared" si="17"/>
        <v>-795238500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257</v>
      </c>
      <c r="H169" s="99">
        <f t="shared" si="15"/>
        <v>1</v>
      </c>
      <c r="I169" s="99">
        <f t="shared" si="13"/>
        <v>5556480</v>
      </c>
      <c r="J169" s="99">
        <f t="shared" si="16"/>
        <v>17539840</v>
      </c>
      <c r="K169" s="99">
        <f t="shared" si="17"/>
        <v>-11983360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233</v>
      </c>
      <c r="H170" s="99">
        <f t="shared" si="15"/>
        <v>1</v>
      </c>
      <c r="I170" s="99">
        <f t="shared" si="13"/>
        <v>1160000000</v>
      </c>
      <c r="J170" s="99">
        <f t="shared" si="16"/>
        <v>0</v>
      </c>
      <c r="K170" s="99">
        <f t="shared" si="17"/>
        <v>1160000000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232</v>
      </c>
      <c r="H171" s="99">
        <f t="shared" si="15"/>
        <v>0</v>
      </c>
      <c r="I171" s="99">
        <f t="shared" si="13"/>
        <v>-1160000000</v>
      </c>
      <c r="J171" s="99">
        <f t="shared" si="16"/>
        <v>0</v>
      </c>
      <c r="K171" s="99">
        <f t="shared" si="17"/>
        <v>-1160000000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226</v>
      </c>
      <c r="H172" s="99">
        <f t="shared" si="15"/>
        <v>1</v>
      </c>
      <c r="I172" s="99">
        <f t="shared" si="13"/>
        <v>111600</v>
      </c>
      <c r="J172" s="99">
        <f t="shared" si="16"/>
        <v>14103225</v>
      </c>
      <c r="K172" s="99">
        <f t="shared" si="17"/>
        <v>-13991625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225</v>
      </c>
      <c r="H173" s="99">
        <f t="shared" si="15"/>
        <v>1</v>
      </c>
      <c r="I173" s="99">
        <f t="shared" si="13"/>
        <v>175840000</v>
      </c>
      <c r="J173" s="99">
        <f t="shared" si="16"/>
        <v>0</v>
      </c>
      <c r="K173" s="99">
        <f t="shared" si="17"/>
        <v>175840000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214</v>
      </c>
      <c r="H174" s="99">
        <f t="shared" si="15"/>
        <v>0</v>
      </c>
      <c r="I174" s="99">
        <f t="shared" si="13"/>
        <v>-6848000</v>
      </c>
      <c r="J174" s="99">
        <f t="shared" si="16"/>
        <v>0</v>
      </c>
      <c r="K174" s="99">
        <f t="shared" si="17"/>
        <v>-6848000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212</v>
      </c>
      <c r="H175" s="99">
        <f t="shared" si="15"/>
        <v>0</v>
      </c>
      <c r="I175" s="99">
        <f t="shared" si="13"/>
        <v>-159000000</v>
      </c>
      <c r="J175" s="99">
        <f t="shared" si="16"/>
        <v>0</v>
      </c>
      <c r="K175" s="99">
        <f t="shared" si="17"/>
        <v>-159000000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203</v>
      </c>
      <c r="H176" s="99">
        <f t="shared" si="15"/>
        <v>0</v>
      </c>
      <c r="I176" s="99">
        <f t="shared" si="13"/>
        <v>-1907388</v>
      </c>
      <c r="J176" s="99">
        <f t="shared" si="16"/>
        <v>0</v>
      </c>
      <c r="K176" s="99">
        <f t="shared" si="17"/>
        <v>-1907388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202</v>
      </c>
      <c r="H177" s="99">
        <f t="shared" si="15"/>
        <v>0</v>
      </c>
      <c r="I177" s="99">
        <f t="shared" si="13"/>
        <v>-8746600</v>
      </c>
      <c r="J177" s="99">
        <f t="shared" si="16"/>
        <v>0</v>
      </c>
      <c r="K177" s="99">
        <f t="shared" si="17"/>
        <v>-8746600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199</v>
      </c>
      <c r="H178" s="99">
        <f t="shared" si="15"/>
        <v>1</v>
      </c>
      <c r="I178" s="99">
        <f t="shared" si="13"/>
        <v>71280000</v>
      </c>
      <c r="J178" s="99">
        <f t="shared" si="16"/>
        <v>0</v>
      </c>
      <c r="K178" s="99">
        <f t="shared" si="17"/>
        <v>71280000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197</v>
      </c>
      <c r="H179" s="99">
        <f t="shared" si="15"/>
        <v>1</v>
      </c>
      <c r="I179" s="99">
        <f t="shared" si="13"/>
        <v>588000000</v>
      </c>
      <c r="J179" s="99">
        <f t="shared" si="16"/>
        <v>0</v>
      </c>
      <c r="K179" s="99">
        <f t="shared" si="17"/>
        <v>588000000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197</v>
      </c>
      <c r="H180" s="99">
        <f t="shared" si="15"/>
        <v>0</v>
      </c>
      <c r="I180" s="99">
        <f t="shared" si="13"/>
        <v>-2373850</v>
      </c>
      <c r="J180" s="99">
        <f t="shared" si="16"/>
        <v>0</v>
      </c>
      <c r="K180" s="99">
        <f t="shared" si="17"/>
        <v>-2373850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195</v>
      </c>
      <c r="H181" s="99">
        <f t="shared" si="15"/>
        <v>1</v>
      </c>
      <c r="I181" s="99">
        <f t="shared" si="13"/>
        <v>582000000</v>
      </c>
      <c r="J181" s="99">
        <f t="shared" si="16"/>
        <v>0</v>
      </c>
      <c r="K181" s="99">
        <f t="shared" si="17"/>
        <v>582000000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193</v>
      </c>
      <c r="H182" s="99">
        <f t="shared" si="15"/>
        <v>0</v>
      </c>
      <c r="I182" s="99">
        <f t="shared" si="13"/>
        <v>-6909400</v>
      </c>
      <c r="J182" s="99">
        <f t="shared" si="16"/>
        <v>0</v>
      </c>
      <c r="K182" s="99">
        <f t="shared" si="17"/>
        <v>-6909400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192</v>
      </c>
      <c r="H183" s="99">
        <f t="shared" si="15"/>
        <v>1</v>
      </c>
      <c r="I183" s="99">
        <f t="shared" si="13"/>
        <v>687600000</v>
      </c>
      <c r="J183" s="99">
        <f t="shared" si="16"/>
        <v>0</v>
      </c>
      <c r="K183" s="99">
        <f t="shared" si="17"/>
        <v>687600000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192</v>
      </c>
      <c r="H184" s="99">
        <f t="shared" si="15"/>
        <v>0</v>
      </c>
      <c r="I184" s="99">
        <f t="shared" si="13"/>
        <v>-6408384</v>
      </c>
      <c r="J184" s="99">
        <f t="shared" si="16"/>
        <v>0</v>
      </c>
      <c r="K184" s="99">
        <f t="shared" si="17"/>
        <v>-6408384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189</v>
      </c>
      <c r="H185" s="99">
        <f t="shared" si="15"/>
        <v>0</v>
      </c>
      <c r="I185" s="99">
        <f t="shared" si="13"/>
        <v>-1852200000</v>
      </c>
      <c r="J185" s="99">
        <f t="shared" si="16"/>
        <v>0</v>
      </c>
      <c r="K185" s="99">
        <f t="shared" si="17"/>
        <v>-1852200000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189</v>
      </c>
      <c r="H186" s="99">
        <f t="shared" si="15"/>
        <v>1</v>
      </c>
      <c r="I186" s="99">
        <f t="shared" si="13"/>
        <v>3384000000</v>
      </c>
      <c r="J186" s="99">
        <f t="shared" si="16"/>
        <v>0</v>
      </c>
      <c r="K186" s="99">
        <f t="shared" si="17"/>
        <v>3384000000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189</v>
      </c>
      <c r="H187" s="99">
        <f t="shared" si="15"/>
        <v>0</v>
      </c>
      <c r="I187" s="99">
        <f t="shared" si="13"/>
        <v>-1701000000</v>
      </c>
      <c r="J187" s="99">
        <f t="shared" si="16"/>
        <v>0</v>
      </c>
      <c r="K187" s="99">
        <f t="shared" si="17"/>
        <v>-1701000000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189</v>
      </c>
      <c r="H188" s="99">
        <f t="shared" si="15"/>
        <v>0</v>
      </c>
      <c r="I188" s="99">
        <f t="shared" si="13"/>
        <v>-2192400</v>
      </c>
      <c r="J188" s="99">
        <f t="shared" si="16"/>
        <v>0</v>
      </c>
      <c r="K188" s="99">
        <f t="shared" si="17"/>
        <v>-2192400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189</v>
      </c>
      <c r="H189" s="99">
        <f t="shared" si="15"/>
        <v>0</v>
      </c>
      <c r="I189" s="99">
        <f t="shared" si="13"/>
        <v>-624517803</v>
      </c>
      <c r="J189" s="99">
        <f t="shared" si="16"/>
        <v>0</v>
      </c>
      <c r="K189" s="99">
        <f t="shared" si="17"/>
        <v>-624517803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188</v>
      </c>
      <c r="H190" s="99">
        <f t="shared" si="15"/>
        <v>0</v>
      </c>
      <c r="I190" s="99">
        <f t="shared" si="13"/>
        <v>-564169200</v>
      </c>
      <c r="J190" s="99">
        <f t="shared" si="16"/>
        <v>0</v>
      </c>
      <c r="K190" s="99">
        <f t="shared" si="17"/>
        <v>-564169200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187</v>
      </c>
      <c r="H191" s="99">
        <f t="shared" si="15"/>
        <v>0</v>
      </c>
      <c r="I191" s="99">
        <f t="shared" si="13"/>
        <v>-516288300</v>
      </c>
      <c r="J191" s="99">
        <f t="shared" si="16"/>
        <v>0</v>
      </c>
      <c r="K191" s="99">
        <f t="shared" si="17"/>
        <v>-516288300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182</v>
      </c>
      <c r="H192" s="99">
        <f t="shared" si="15"/>
        <v>1</v>
      </c>
      <c r="I192" s="99">
        <f t="shared" si="13"/>
        <v>181000000</v>
      </c>
      <c r="J192" s="99">
        <f t="shared" si="16"/>
        <v>0</v>
      </c>
      <c r="K192" s="99">
        <f t="shared" si="17"/>
        <v>181000000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181</v>
      </c>
      <c r="H193" s="99">
        <f t="shared" si="15"/>
        <v>0</v>
      </c>
      <c r="I193" s="99">
        <f t="shared" si="13"/>
        <v>-2715000</v>
      </c>
      <c r="J193" s="99">
        <f t="shared" si="16"/>
        <v>0</v>
      </c>
      <c r="K193" s="99">
        <f t="shared" si="17"/>
        <v>-2715000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179</v>
      </c>
      <c r="H194" s="99">
        <f t="shared" si="15"/>
        <v>0</v>
      </c>
      <c r="I194" s="99">
        <f t="shared" si="13"/>
        <v>-177210000</v>
      </c>
      <c r="J194" s="99">
        <f t="shared" si="16"/>
        <v>0</v>
      </c>
      <c r="K194" s="99">
        <f t="shared" si="17"/>
        <v>-177210000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179</v>
      </c>
      <c r="H195" s="99">
        <f t="shared" si="15"/>
        <v>1</v>
      </c>
      <c r="I195" s="99">
        <f t="shared" si="13"/>
        <v>139374000</v>
      </c>
      <c r="J195" s="99">
        <f t="shared" si="16"/>
        <v>0</v>
      </c>
      <c r="K195" s="99">
        <f t="shared" si="17"/>
        <v>139374000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177</v>
      </c>
      <c r="H196" s="99">
        <f t="shared" si="15"/>
        <v>0</v>
      </c>
      <c r="I196" s="99">
        <f t="shared" si="13"/>
        <v>-132838500</v>
      </c>
      <c r="J196" s="99">
        <f t="shared" si="16"/>
        <v>0</v>
      </c>
      <c r="K196" s="99">
        <f t="shared" si="17"/>
        <v>-132838500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175</v>
      </c>
      <c r="H197" s="99">
        <f t="shared" si="15"/>
        <v>1</v>
      </c>
      <c r="I197" s="99">
        <f t="shared" si="13"/>
        <v>121800000</v>
      </c>
      <c r="J197" s="99">
        <f t="shared" si="16"/>
        <v>0</v>
      </c>
      <c r="K197" s="99">
        <f t="shared" si="17"/>
        <v>121800000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175</v>
      </c>
      <c r="H198" s="99">
        <f t="shared" si="15"/>
        <v>0</v>
      </c>
      <c r="I198" s="99">
        <f t="shared" si="13"/>
        <v>-17325000</v>
      </c>
      <c r="J198" s="99">
        <f t="shared" si="16"/>
        <v>0</v>
      </c>
      <c r="K198" s="99">
        <f t="shared" si="17"/>
        <v>-17325000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174</v>
      </c>
      <c r="H199" s="99">
        <f t="shared" si="15"/>
        <v>0</v>
      </c>
      <c r="I199" s="99">
        <f t="shared" si="13"/>
        <v>-35800500</v>
      </c>
      <c r="J199" s="99">
        <f t="shared" si="16"/>
        <v>0</v>
      </c>
      <c r="K199" s="99">
        <f t="shared" si="17"/>
        <v>-35800500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174</v>
      </c>
      <c r="H200" s="99">
        <f t="shared" si="15"/>
        <v>0</v>
      </c>
      <c r="I200" s="99">
        <f t="shared" si="13"/>
        <v>-16530000</v>
      </c>
      <c r="J200" s="99">
        <f t="shared" si="16"/>
        <v>0</v>
      </c>
      <c r="K200" s="99">
        <f t="shared" si="17"/>
        <v>-16530000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171</v>
      </c>
      <c r="H201" s="99">
        <f t="shared" si="15"/>
        <v>1</v>
      </c>
      <c r="I201" s="99">
        <f t="shared" si="13"/>
        <v>8270500000</v>
      </c>
      <c r="J201" s="99">
        <f t="shared" si="16"/>
        <v>0</v>
      </c>
      <c r="K201" s="99">
        <f t="shared" si="17"/>
        <v>8270500000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171</v>
      </c>
      <c r="H202" s="99">
        <f t="shared" si="15"/>
        <v>0</v>
      </c>
      <c r="I202" s="99">
        <f t="shared" si="13"/>
        <v>-513153900</v>
      </c>
      <c r="J202" s="99">
        <f t="shared" si="16"/>
        <v>0</v>
      </c>
      <c r="K202" s="99">
        <f t="shared" si="17"/>
        <v>-513153900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171</v>
      </c>
      <c r="H203" s="99">
        <f t="shared" si="15"/>
        <v>0</v>
      </c>
      <c r="I203" s="99">
        <f t="shared" si="13"/>
        <v>-855000</v>
      </c>
      <c r="J203" s="99">
        <f t="shared" si="16"/>
        <v>0</v>
      </c>
      <c r="K203" s="99">
        <f t="shared" si="17"/>
        <v>-855000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171</v>
      </c>
      <c r="H204" s="99">
        <f t="shared" si="15"/>
        <v>0</v>
      </c>
      <c r="I204" s="99">
        <f t="shared" si="13"/>
        <v>-5728500000</v>
      </c>
      <c r="J204" s="99">
        <f t="shared" si="16"/>
        <v>0</v>
      </c>
      <c r="K204" s="99">
        <f t="shared" si="17"/>
        <v>-5728500000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170</v>
      </c>
      <c r="H205" s="99">
        <f t="shared" si="15"/>
        <v>0</v>
      </c>
      <c r="I205" s="99">
        <f t="shared" si="13"/>
        <v>-2113950000</v>
      </c>
      <c r="J205" s="99">
        <f t="shared" si="16"/>
        <v>0</v>
      </c>
      <c r="K205" s="99">
        <f t="shared" si="17"/>
        <v>-2113950000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167</v>
      </c>
      <c r="H206" s="99">
        <f t="shared" si="15"/>
        <v>0</v>
      </c>
      <c r="I206" s="99">
        <f t="shared" si="13"/>
        <v>-3089500</v>
      </c>
      <c r="J206" s="99">
        <f t="shared" si="16"/>
        <v>0</v>
      </c>
      <c r="K206" s="99">
        <f t="shared" si="17"/>
        <v>-3089500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165</v>
      </c>
      <c r="H207" s="99">
        <f t="shared" si="15"/>
        <v>1</v>
      </c>
      <c r="I207" s="99">
        <f t="shared" si="13"/>
        <v>2374720</v>
      </c>
      <c r="J207" s="99">
        <f t="shared" ref="J207:J281" si="20">C207*(G207-H207)</f>
        <v>11623336</v>
      </c>
      <c r="K207" s="99">
        <f t="shared" si="17"/>
        <v>-9248616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164</v>
      </c>
      <c r="H208" s="99">
        <f t="shared" si="15"/>
        <v>1</v>
      </c>
      <c r="I208" s="99">
        <f t="shared" si="13"/>
        <v>135290000</v>
      </c>
      <c r="J208" s="99">
        <f t="shared" si="20"/>
        <v>0</v>
      </c>
      <c r="K208" s="99">
        <f t="shared" si="17"/>
        <v>135290000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162</v>
      </c>
      <c r="H209" s="99">
        <f t="shared" si="15"/>
        <v>0</v>
      </c>
      <c r="I209" s="99">
        <f t="shared" si="13"/>
        <v>-8495280</v>
      </c>
      <c r="J209" s="99">
        <f t="shared" si="20"/>
        <v>0</v>
      </c>
      <c r="K209" s="99">
        <f t="shared" si="17"/>
        <v>-8495280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161</v>
      </c>
      <c r="H210" s="99">
        <f t="shared" si="15"/>
        <v>0</v>
      </c>
      <c r="I210" s="99">
        <f t="shared" si="13"/>
        <v>-8227100</v>
      </c>
      <c r="J210" s="99">
        <f t="shared" si="20"/>
        <v>0</v>
      </c>
      <c r="K210" s="99">
        <f t="shared" si="17"/>
        <v>-8227100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160</v>
      </c>
      <c r="H211" s="99">
        <f t="shared" si="15"/>
        <v>0</v>
      </c>
      <c r="I211" s="99">
        <f t="shared" si="13"/>
        <v>-32000000</v>
      </c>
      <c r="J211" s="99">
        <f t="shared" si="20"/>
        <v>0</v>
      </c>
      <c r="K211" s="99">
        <f t="shared" si="17"/>
        <v>-32000000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159</v>
      </c>
      <c r="H212" s="99">
        <f t="shared" si="15"/>
        <v>0</v>
      </c>
      <c r="I212" s="99">
        <f t="shared" si="13"/>
        <v>-4452000</v>
      </c>
      <c r="J212" s="99">
        <f t="shared" si="20"/>
        <v>0</v>
      </c>
      <c r="K212" s="99">
        <f t="shared" si="17"/>
        <v>-4452000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158</v>
      </c>
      <c r="H213" s="99">
        <f t="shared" si="15"/>
        <v>0</v>
      </c>
      <c r="I213" s="99">
        <f t="shared" si="13"/>
        <v>-9337800</v>
      </c>
      <c r="J213" s="99">
        <f t="shared" si="20"/>
        <v>0</v>
      </c>
      <c r="K213" s="99">
        <f t="shared" si="17"/>
        <v>-9337800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157</v>
      </c>
      <c r="H214" s="99">
        <f t="shared" si="15"/>
        <v>0</v>
      </c>
      <c r="I214" s="99">
        <f t="shared" si="13"/>
        <v>-4710000</v>
      </c>
      <c r="J214" s="99">
        <f t="shared" si="20"/>
        <v>0</v>
      </c>
      <c r="K214" s="99">
        <f t="shared" si="17"/>
        <v>-4710000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157</v>
      </c>
      <c r="H215" s="99">
        <f t="shared" si="15"/>
        <v>0</v>
      </c>
      <c r="I215" s="99">
        <f t="shared" si="13"/>
        <v>-27946000</v>
      </c>
      <c r="J215" s="99">
        <f t="shared" si="20"/>
        <v>0</v>
      </c>
      <c r="K215" s="99">
        <f t="shared" si="17"/>
        <v>-27946000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156</v>
      </c>
      <c r="H216" s="99">
        <f t="shared" si="15"/>
        <v>0</v>
      </c>
      <c r="I216" s="99">
        <f t="shared" si="13"/>
        <v>-14915160</v>
      </c>
      <c r="J216" s="99">
        <f t="shared" si="20"/>
        <v>0</v>
      </c>
      <c r="K216" s="99">
        <f t="shared" si="17"/>
        <v>-14915160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153</v>
      </c>
      <c r="H217" s="99">
        <f t="shared" si="15"/>
        <v>0</v>
      </c>
      <c r="I217" s="99">
        <f t="shared" si="13"/>
        <v>-12852000</v>
      </c>
      <c r="J217" s="99">
        <f t="shared" si="20"/>
        <v>0</v>
      </c>
      <c r="K217" s="99">
        <f t="shared" si="17"/>
        <v>-12852000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151</v>
      </c>
      <c r="H218" s="99">
        <f t="shared" si="15"/>
        <v>0</v>
      </c>
      <c r="I218" s="99">
        <f t="shared" si="13"/>
        <v>-4983000</v>
      </c>
      <c r="J218" s="99">
        <f t="shared" si="20"/>
        <v>0</v>
      </c>
      <c r="K218" s="99">
        <f t="shared" si="17"/>
        <v>-4983000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148</v>
      </c>
      <c r="H219" s="99">
        <f t="shared" si="15"/>
        <v>1</v>
      </c>
      <c r="I219" s="99">
        <f t="shared" si="13"/>
        <v>227556000</v>
      </c>
      <c r="J219" s="99">
        <f t="shared" si="20"/>
        <v>0</v>
      </c>
      <c r="K219" s="99">
        <f t="shared" si="17"/>
        <v>227556000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147</v>
      </c>
      <c r="H220" s="99">
        <f t="shared" si="15"/>
        <v>0</v>
      </c>
      <c r="I220" s="99">
        <f t="shared" si="13"/>
        <v>-205902900</v>
      </c>
      <c r="J220" s="99">
        <f t="shared" si="20"/>
        <v>0</v>
      </c>
      <c r="K220" s="99">
        <f t="shared" si="17"/>
        <v>-205902900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147</v>
      </c>
      <c r="H221" s="99">
        <f t="shared" si="15"/>
        <v>0</v>
      </c>
      <c r="I221" s="99">
        <f t="shared" si="13"/>
        <v>-1470000</v>
      </c>
      <c r="J221" s="99">
        <f t="shared" si="20"/>
        <v>0</v>
      </c>
      <c r="K221" s="99">
        <f t="shared" si="17"/>
        <v>-1470000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147</v>
      </c>
      <c r="H222" s="99">
        <f t="shared" si="15"/>
        <v>0</v>
      </c>
      <c r="I222" s="99">
        <f t="shared" si="13"/>
        <v>-735000</v>
      </c>
      <c r="J222" s="99">
        <f t="shared" si="20"/>
        <v>-367500</v>
      </c>
      <c r="K222" s="99">
        <f t="shared" si="17"/>
        <v>-367500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141</v>
      </c>
      <c r="H223" s="99">
        <f t="shared" si="15"/>
        <v>0</v>
      </c>
      <c r="I223" s="99">
        <f t="shared" si="13"/>
        <v>-26790000</v>
      </c>
      <c r="J223" s="99">
        <f t="shared" si="20"/>
        <v>0</v>
      </c>
      <c r="K223" s="99">
        <f t="shared" si="17"/>
        <v>-26790000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134</v>
      </c>
      <c r="H224" s="99">
        <f t="shared" si="15"/>
        <v>1</v>
      </c>
      <c r="I224" s="99">
        <f t="shared" si="13"/>
        <v>254163</v>
      </c>
      <c r="J224" s="99">
        <f t="shared" si="20"/>
        <v>8641276</v>
      </c>
      <c r="K224" s="99">
        <f t="shared" si="17"/>
        <v>-8387113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128</v>
      </c>
      <c r="H225" s="99">
        <f t="shared" si="15"/>
        <v>1</v>
      </c>
      <c r="I225" s="99">
        <f t="shared" si="13"/>
        <v>635000000</v>
      </c>
      <c r="J225" s="99">
        <f t="shared" si="20"/>
        <v>0</v>
      </c>
      <c r="K225" s="99">
        <f t="shared" si="17"/>
        <v>635000000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127</v>
      </c>
      <c r="H226" s="99">
        <f t="shared" si="15"/>
        <v>0</v>
      </c>
      <c r="I226" s="99">
        <f t="shared" si="13"/>
        <v>-406400000</v>
      </c>
      <c r="J226" s="99">
        <f t="shared" si="20"/>
        <v>0</v>
      </c>
      <c r="K226" s="99">
        <f t="shared" si="17"/>
        <v>-406400000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127</v>
      </c>
      <c r="H227" s="99">
        <f t="shared" si="15"/>
        <v>1</v>
      </c>
      <c r="I227" s="99">
        <f t="shared" si="13"/>
        <v>302400000</v>
      </c>
      <c r="J227" s="99">
        <f t="shared" si="20"/>
        <v>0</v>
      </c>
      <c r="K227" s="99">
        <f t="shared" si="17"/>
        <v>302400000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125</v>
      </c>
      <c r="H228" s="99">
        <f t="shared" si="15"/>
        <v>0</v>
      </c>
      <c r="I228" s="99">
        <f t="shared" si="13"/>
        <v>-6250000</v>
      </c>
      <c r="J228" s="99">
        <f t="shared" si="20"/>
        <v>0</v>
      </c>
      <c r="K228" s="99">
        <f t="shared" si="17"/>
        <v>-6250000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124</v>
      </c>
      <c r="H229" s="99">
        <f t="shared" si="15"/>
        <v>0</v>
      </c>
      <c r="I229" s="99">
        <f t="shared" si="13"/>
        <v>-508486800</v>
      </c>
      <c r="J229" s="99">
        <f t="shared" si="20"/>
        <v>0</v>
      </c>
      <c r="K229" s="99">
        <f t="shared" si="17"/>
        <v>-508486800</v>
      </c>
    </row>
    <row r="230" spans="1:13">
      <c r="A230" s="99" t="s">
        <v>4348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120</v>
      </c>
      <c r="H230" s="99">
        <f t="shared" si="15"/>
        <v>1</v>
      </c>
      <c r="I230" s="99">
        <f t="shared" si="13"/>
        <v>1154300000</v>
      </c>
      <c r="J230" s="99">
        <f t="shared" si="20"/>
        <v>0</v>
      </c>
      <c r="K230" s="99">
        <f t="shared" si="17"/>
        <v>1154300000</v>
      </c>
    </row>
    <row r="231" spans="1:13">
      <c r="A231" s="99" t="s">
        <v>4348</v>
      </c>
      <c r="B231" s="18">
        <v>-3000900</v>
      </c>
      <c r="C231" s="18">
        <v>0</v>
      </c>
      <c r="D231" s="18">
        <f t="shared" si="18"/>
        <v>-3000900</v>
      </c>
      <c r="E231" s="99" t="s">
        <v>4356</v>
      </c>
      <c r="F231" s="99">
        <v>1</v>
      </c>
      <c r="G231" s="36">
        <f t="shared" si="21"/>
        <v>120</v>
      </c>
      <c r="H231" s="99">
        <f t="shared" si="15"/>
        <v>0</v>
      </c>
      <c r="I231" s="99">
        <f t="shared" si="13"/>
        <v>-360108000</v>
      </c>
      <c r="J231" s="99">
        <f t="shared" si="20"/>
        <v>0</v>
      </c>
      <c r="K231" s="99">
        <f t="shared" si="17"/>
        <v>-360108000</v>
      </c>
    </row>
    <row r="232" spans="1:13">
      <c r="A232" s="99" t="s">
        <v>4349</v>
      </c>
      <c r="B232" s="18">
        <v>-3000900</v>
      </c>
      <c r="C232" s="18">
        <v>0</v>
      </c>
      <c r="D232" s="18">
        <f t="shared" si="18"/>
        <v>-3000900</v>
      </c>
      <c r="E232" s="99" t="s">
        <v>4356</v>
      </c>
      <c r="F232" s="99">
        <v>0</v>
      </c>
      <c r="G232" s="36">
        <f t="shared" si="21"/>
        <v>119</v>
      </c>
      <c r="H232" s="99">
        <f t="shared" si="15"/>
        <v>0</v>
      </c>
      <c r="I232" s="99">
        <f t="shared" si="13"/>
        <v>-357107100</v>
      </c>
      <c r="J232" s="99">
        <f t="shared" si="20"/>
        <v>0</v>
      </c>
      <c r="K232" s="99">
        <f t="shared" si="17"/>
        <v>-357107100</v>
      </c>
    </row>
    <row r="233" spans="1:13">
      <c r="A233" s="99" t="s">
        <v>4349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119</v>
      </c>
      <c r="H233" s="99">
        <f t="shared" si="15"/>
        <v>0</v>
      </c>
      <c r="I233" s="99">
        <f t="shared" si="13"/>
        <v>-66045000</v>
      </c>
      <c r="J233" s="99">
        <f t="shared" si="20"/>
        <v>0</v>
      </c>
      <c r="K233" s="99">
        <f t="shared" si="17"/>
        <v>-66045000</v>
      </c>
    </row>
    <row r="234" spans="1:13">
      <c r="A234" s="99" t="s">
        <v>4368</v>
      </c>
      <c r="B234" s="18">
        <v>-138360</v>
      </c>
      <c r="C234" s="18">
        <v>0</v>
      </c>
      <c r="D234" s="18">
        <f t="shared" si="18"/>
        <v>-138360</v>
      </c>
      <c r="E234" s="99" t="s">
        <v>4370</v>
      </c>
      <c r="F234" s="99">
        <v>1</v>
      </c>
      <c r="G234" s="36">
        <f t="shared" si="21"/>
        <v>118</v>
      </c>
      <c r="H234" s="99">
        <f t="shared" si="15"/>
        <v>0</v>
      </c>
      <c r="I234" s="99">
        <f t="shared" si="13"/>
        <v>-16326480</v>
      </c>
      <c r="J234" s="99">
        <f t="shared" si="20"/>
        <v>0</v>
      </c>
      <c r="K234" s="99">
        <f t="shared" si="17"/>
        <v>-16326480</v>
      </c>
    </row>
    <row r="235" spans="1:13">
      <c r="A235" s="99" t="s">
        <v>4371</v>
      </c>
      <c r="B235" s="18">
        <v>-3000900</v>
      </c>
      <c r="C235" s="18">
        <v>0</v>
      </c>
      <c r="D235" s="18">
        <f t="shared" si="18"/>
        <v>-3000900</v>
      </c>
      <c r="E235" s="99" t="s">
        <v>4356</v>
      </c>
      <c r="F235" s="99">
        <v>2</v>
      </c>
      <c r="G235" s="36">
        <f t="shared" si="21"/>
        <v>117</v>
      </c>
      <c r="H235" s="99">
        <f t="shared" si="15"/>
        <v>0</v>
      </c>
      <c r="I235" s="99">
        <f t="shared" si="13"/>
        <v>-351105300</v>
      </c>
      <c r="J235" s="99">
        <f t="shared" si="20"/>
        <v>0</v>
      </c>
      <c r="K235" s="99">
        <f t="shared" si="17"/>
        <v>-351105300</v>
      </c>
      <c r="M235" t="s">
        <v>25</v>
      </c>
    </row>
    <row r="236" spans="1:13">
      <c r="A236" s="99" t="s">
        <v>4377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115</v>
      </c>
      <c r="H236" s="99">
        <f t="shared" si="15"/>
        <v>0</v>
      </c>
      <c r="I236" s="99">
        <f t="shared" si="13"/>
        <v>-6325000</v>
      </c>
      <c r="J236" s="99">
        <f t="shared" si="20"/>
        <v>0</v>
      </c>
      <c r="K236" s="99">
        <f t="shared" si="17"/>
        <v>-6325000</v>
      </c>
    </row>
    <row r="237" spans="1:13">
      <c r="A237" s="99" t="s">
        <v>4394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111</v>
      </c>
      <c r="H237" s="99">
        <f t="shared" si="15"/>
        <v>1</v>
      </c>
      <c r="I237" s="99">
        <f t="shared" si="13"/>
        <v>663850000</v>
      </c>
      <c r="J237" s="99">
        <f t="shared" si="20"/>
        <v>0</v>
      </c>
      <c r="K237" s="99">
        <f t="shared" si="17"/>
        <v>663850000</v>
      </c>
    </row>
    <row r="238" spans="1:13">
      <c r="A238" s="99" t="s">
        <v>4401</v>
      </c>
      <c r="B238" s="18">
        <v>-7500</v>
      </c>
      <c r="C238" s="18">
        <v>0</v>
      </c>
      <c r="D238" s="18">
        <f t="shared" si="18"/>
        <v>-7500</v>
      </c>
      <c r="E238" s="99" t="s">
        <v>4402</v>
      </c>
      <c r="F238" s="99">
        <v>1</v>
      </c>
      <c r="G238" s="36">
        <f t="shared" si="21"/>
        <v>109</v>
      </c>
      <c r="H238" s="99">
        <f t="shared" si="15"/>
        <v>0</v>
      </c>
      <c r="I238" s="99">
        <f t="shared" si="13"/>
        <v>-817500</v>
      </c>
      <c r="J238" s="99">
        <f t="shared" si="20"/>
        <v>0</v>
      </c>
      <c r="K238" s="99">
        <f t="shared" si="17"/>
        <v>-817500</v>
      </c>
    </row>
    <row r="239" spans="1:13">
      <c r="A239" s="99" t="s">
        <v>4403</v>
      </c>
      <c r="B239" s="18">
        <v>-4098523</v>
      </c>
      <c r="C239" s="18">
        <v>0</v>
      </c>
      <c r="D239" s="18">
        <f t="shared" si="18"/>
        <v>-4098523</v>
      </c>
      <c r="E239" s="99" t="s">
        <v>4404</v>
      </c>
      <c r="F239" s="99">
        <v>0</v>
      </c>
      <c r="G239" s="36">
        <f t="shared" si="21"/>
        <v>108</v>
      </c>
      <c r="H239" s="99">
        <f t="shared" si="15"/>
        <v>0</v>
      </c>
      <c r="I239" s="99">
        <f t="shared" si="13"/>
        <v>-442640484</v>
      </c>
      <c r="J239" s="99">
        <f t="shared" si="20"/>
        <v>0</v>
      </c>
      <c r="K239" s="99">
        <f t="shared" si="17"/>
        <v>-442640484</v>
      </c>
    </row>
    <row r="240" spans="1:13">
      <c r="A240" s="99" t="s">
        <v>4405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108</v>
      </c>
      <c r="H240" s="99">
        <f t="shared" si="15"/>
        <v>0</v>
      </c>
      <c r="I240" s="99">
        <f t="shared" si="13"/>
        <v>-3588300</v>
      </c>
      <c r="J240" s="99">
        <f t="shared" si="20"/>
        <v>0</v>
      </c>
      <c r="K240" s="99">
        <f t="shared" si="17"/>
        <v>-3588300</v>
      </c>
    </row>
    <row r="241" spans="1:13">
      <c r="A241" s="99" t="s">
        <v>4405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108</v>
      </c>
      <c r="H241" s="99">
        <f t="shared" si="15"/>
        <v>0</v>
      </c>
      <c r="I241" s="99">
        <f t="shared" si="13"/>
        <v>-204660000</v>
      </c>
      <c r="J241" s="99">
        <f t="shared" si="20"/>
        <v>0</v>
      </c>
      <c r="K241" s="99">
        <f t="shared" si="17"/>
        <v>-204660000</v>
      </c>
    </row>
    <row r="242" spans="1:13">
      <c r="A242" s="99" t="s">
        <v>4440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101</v>
      </c>
      <c r="H242" s="99">
        <f t="shared" si="15"/>
        <v>1</v>
      </c>
      <c r="I242" s="99">
        <f t="shared" si="13"/>
        <v>250000000</v>
      </c>
      <c r="J242" s="99">
        <f t="shared" si="20"/>
        <v>0</v>
      </c>
      <c r="K242" s="99">
        <f t="shared" si="17"/>
        <v>250000000</v>
      </c>
    </row>
    <row r="243" spans="1:13">
      <c r="A243" s="99" t="s">
        <v>4442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99</v>
      </c>
      <c r="H243" s="99">
        <f t="shared" si="15"/>
        <v>0</v>
      </c>
      <c r="I243" s="99">
        <f t="shared" si="13"/>
        <v>-247500000</v>
      </c>
      <c r="J243" s="99">
        <f t="shared" si="20"/>
        <v>0</v>
      </c>
      <c r="K243" s="99">
        <f t="shared" si="17"/>
        <v>-247500000</v>
      </c>
    </row>
    <row r="244" spans="1:13">
      <c r="A244" s="99" t="s">
        <v>4447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97</v>
      </c>
      <c r="H244" s="99">
        <f t="shared" si="15"/>
        <v>1</v>
      </c>
      <c r="I244" s="99">
        <f t="shared" si="13"/>
        <v>105600000</v>
      </c>
      <c r="J244" s="99">
        <f t="shared" si="20"/>
        <v>0</v>
      </c>
      <c r="K244" s="99">
        <f t="shared" si="17"/>
        <v>105600000</v>
      </c>
    </row>
    <row r="245" spans="1:13">
      <c r="A245" s="99" t="s">
        <v>4449</v>
      </c>
      <c r="B245" s="18">
        <v>3000000</v>
      </c>
      <c r="C245" s="18">
        <v>0</v>
      </c>
      <c r="D245" s="18">
        <f t="shared" si="18"/>
        <v>3000000</v>
      </c>
      <c r="E245" s="99" t="s">
        <v>4451</v>
      </c>
      <c r="F245" s="99">
        <v>2</v>
      </c>
      <c r="G245" s="36">
        <f t="shared" si="21"/>
        <v>95</v>
      </c>
      <c r="H245" s="99">
        <f t="shared" si="15"/>
        <v>1</v>
      </c>
      <c r="I245" s="99">
        <f t="shared" si="13"/>
        <v>282000000</v>
      </c>
      <c r="J245" s="99">
        <f t="shared" si="20"/>
        <v>0</v>
      </c>
      <c r="K245" s="99">
        <f t="shared" si="17"/>
        <v>282000000</v>
      </c>
    </row>
    <row r="246" spans="1:13">
      <c r="A246" s="99" t="s">
        <v>4446</v>
      </c>
      <c r="B246" s="18">
        <v>-4040700</v>
      </c>
      <c r="C246" s="18">
        <v>0</v>
      </c>
      <c r="D246" s="18">
        <f t="shared" si="18"/>
        <v>-4040700</v>
      </c>
      <c r="E246" s="99" t="s">
        <v>4484</v>
      </c>
      <c r="F246" s="99">
        <v>0</v>
      </c>
      <c r="G246" s="36">
        <f t="shared" si="21"/>
        <v>93</v>
      </c>
      <c r="H246" s="99">
        <f t="shared" si="15"/>
        <v>0</v>
      </c>
      <c r="I246" s="99">
        <f t="shared" si="13"/>
        <v>-375785100</v>
      </c>
      <c r="J246" s="99">
        <f t="shared" si="20"/>
        <v>0</v>
      </c>
      <c r="K246" s="99">
        <f t="shared" si="17"/>
        <v>-375785100</v>
      </c>
    </row>
    <row r="247" spans="1:13">
      <c r="A247" s="99" t="s">
        <v>4446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93</v>
      </c>
      <c r="H247" s="99">
        <f t="shared" si="15"/>
        <v>1</v>
      </c>
      <c r="I247" s="99">
        <f t="shared" si="13"/>
        <v>45080000</v>
      </c>
      <c r="J247" s="99">
        <f t="shared" si="20"/>
        <v>0</v>
      </c>
      <c r="K247" s="99">
        <f t="shared" si="17"/>
        <v>45080000</v>
      </c>
    </row>
    <row r="248" spans="1:13">
      <c r="A248" s="99" t="s">
        <v>4487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92</v>
      </c>
      <c r="H248" s="99">
        <f t="shared" si="15"/>
        <v>1</v>
      </c>
      <c r="I248" s="99">
        <f t="shared" si="13"/>
        <v>127400000</v>
      </c>
      <c r="J248" s="99">
        <f t="shared" si="20"/>
        <v>0</v>
      </c>
      <c r="K248" s="99">
        <f t="shared" si="17"/>
        <v>127400000</v>
      </c>
      <c r="M248" t="s">
        <v>25</v>
      </c>
    </row>
    <row r="249" spans="1:13">
      <c r="A249" s="99" t="s">
        <v>4487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92</v>
      </c>
      <c r="H249" s="99">
        <f t="shared" si="15"/>
        <v>0</v>
      </c>
      <c r="I249" s="99">
        <f t="shared" si="13"/>
        <v>-138000000</v>
      </c>
      <c r="J249" s="99">
        <f t="shared" si="20"/>
        <v>0</v>
      </c>
      <c r="K249" s="99">
        <f t="shared" si="17"/>
        <v>-138000000</v>
      </c>
    </row>
    <row r="250" spans="1:13">
      <c r="A250" s="99" t="s">
        <v>4493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91</v>
      </c>
      <c r="H250" s="99">
        <f t="shared" si="15"/>
        <v>0</v>
      </c>
      <c r="I250" s="99">
        <f t="shared" si="13"/>
        <v>-9100000</v>
      </c>
      <c r="J250" s="99">
        <f t="shared" si="20"/>
        <v>0</v>
      </c>
      <c r="K250" s="99">
        <f t="shared" si="17"/>
        <v>-9100000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90</v>
      </c>
      <c r="H251" s="99">
        <f t="shared" si="15"/>
        <v>0</v>
      </c>
      <c r="I251" s="99">
        <f t="shared" si="13"/>
        <v>-1251000</v>
      </c>
      <c r="J251" s="99">
        <f t="shared" si="20"/>
        <v>0</v>
      </c>
      <c r="K251" s="99">
        <f t="shared" si="17"/>
        <v>-1251000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90</v>
      </c>
      <c r="H252" s="99">
        <f t="shared" si="15"/>
        <v>1</v>
      </c>
      <c r="I252" s="99">
        <f t="shared" si="13"/>
        <v>26700000</v>
      </c>
      <c r="J252" s="99">
        <f t="shared" si="20"/>
        <v>0</v>
      </c>
      <c r="K252" s="99">
        <f t="shared" si="17"/>
        <v>26700000</v>
      </c>
    </row>
    <row r="253" spans="1:13">
      <c r="A253" s="99" t="s">
        <v>4501</v>
      </c>
      <c r="B253" s="18">
        <v>12000000</v>
      </c>
      <c r="C253" s="18">
        <v>0</v>
      </c>
      <c r="D253" s="18">
        <f t="shared" si="18"/>
        <v>12000000</v>
      </c>
      <c r="E253" s="99" t="s">
        <v>4502</v>
      </c>
      <c r="F253" s="99">
        <v>1</v>
      </c>
      <c r="G253" s="36">
        <f t="shared" si="21"/>
        <v>88</v>
      </c>
      <c r="H253" s="99">
        <f t="shared" si="15"/>
        <v>1</v>
      </c>
      <c r="I253" s="99">
        <f t="shared" si="13"/>
        <v>1044000000</v>
      </c>
      <c r="J253" s="99">
        <f t="shared" si="20"/>
        <v>0</v>
      </c>
      <c r="K253" s="99">
        <f t="shared" si="17"/>
        <v>1044000000</v>
      </c>
    </row>
    <row r="254" spans="1:13">
      <c r="A254" s="99" t="s">
        <v>4503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87</v>
      </c>
      <c r="H254" s="99">
        <f t="shared" si="15"/>
        <v>1</v>
      </c>
      <c r="I254" s="99">
        <f t="shared" si="13"/>
        <v>258000000</v>
      </c>
      <c r="J254" s="99">
        <f t="shared" si="20"/>
        <v>0</v>
      </c>
      <c r="K254" s="99">
        <f t="shared" si="17"/>
        <v>258000000</v>
      </c>
    </row>
    <row r="255" spans="1:13">
      <c r="A255" s="99" t="s">
        <v>4505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86</v>
      </c>
      <c r="H255" s="99">
        <f t="shared" si="15"/>
        <v>0</v>
      </c>
      <c r="I255" s="99">
        <f t="shared" si="13"/>
        <v>-1204000000</v>
      </c>
      <c r="J255" s="99">
        <f t="shared" si="20"/>
        <v>0</v>
      </c>
      <c r="K255" s="99">
        <f t="shared" si="17"/>
        <v>-1204000000</v>
      </c>
    </row>
    <row r="256" spans="1:13">
      <c r="A256" s="99" t="s">
        <v>4507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85</v>
      </c>
      <c r="H256" s="99">
        <f t="shared" si="15"/>
        <v>0</v>
      </c>
      <c r="I256" s="99">
        <f t="shared" si="13"/>
        <v>-10622365</v>
      </c>
      <c r="J256" s="99">
        <f t="shared" si="20"/>
        <v>0</v>
      </c>
      <c r="K256" s="99">
        <f t="shared" si="17"/>
        <v>-10622365</v>
      </c>
    </row>
    <row r="257" spans="1:13">
      <c r="A257" s="99" t="s">
        <v>4507</v>
      </c>
      <c r="B257" s="18">
        <v>0</v>
      </c>
      <c r="C257" s="39">
        <v>-7968789</v>
      </c>
      <c r="D257" s="39">
        <f t="shared" si="18"/>
        <v>7968789</v>
      </c>
      <c r="E257" s="99" t="s">
        <v>4509</v>
      </c>
      <c r="F257" s="99">
        <v>1</v>
      </c>
      <c r="G257" s="36">
        <f t="shared" si="21"/>
        <v>85</v>
      </c>
      <c r="H257" s="99">
        <f t="shared" si="15"/>
        <v>0</v>
      </c>
      <c r="I257" s="99">
        <f t="shared" si="13"/>
        <v>0</v>
      </c>
      <c r="J257" s="99">
        <f t="shared" si="20"/>
        <v>-677347065</v>
      </c>
      <c r="K257" s="99">
        <f t="shared" si="17"/>
        <v>677347065</v>
      </c>
    </row>
    <row r="258" spans="1:13">
      <c r="A258" s="99" t="s">
        <v>4511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84</v>
      </c>
      <c r="H258" s="99">
        <f t="shared" si="15"/>
        <v>0</v>
      </c>
      <c r="I258" s="99">
        <f t="shared" si="13"/>
        <v>-110292000</v>
      </c>
      <c r="J258" s="99">
        <f t="shared" si="20"/>
        <v>0</v>
      </c>
      <c r="K258" s="99">
        <f t="shared" si="17"/>
        <v>-110292000</v>
      </c>
    </row>
    <row r="259" spans="1:13">
      <c r="A259" s="99" t="s">
        <v>4518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81</v>
      </c>
      <c r="H259" s="99">
        <f t="shared" si="15"/>
        <v>1</v>
      </c>
      <c r="I259" s="99">
        <f t="shared" si="13"/>
        <v>160000000</v>
      </c>
      <c r="J259" s="99">
        <f t="shared" si="20"/>
        <v>0</v>
      </c>
      <c r="K259" s="99">
        <f t="shared" si="17"/>
        <v>160000000</v>
      </c>
      <c r="M259" t="s">
        <v>25</v>
      </c>
    </row>
    <row r="260" spans="1:13">
      <c r="A260" s="99" t="s">
        <v>4519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80</v>
      </c>
      <c r="H260" s="99">
        <f t="shared" si="15"/>
        <v>0</v>
      </c>
      <c r="I260" s="99">
        <f t="shared" si="13"/>
        <v>-152000000</v>
      </c>
      <c r="J260" s="99">
        <f t="shared" si="20"/>
        <v>0</v>
      </c>
      <c r="K260" s="99">
        <f t="shared" si="17"/>
        <v>-152000000</v>
      </c>
    </row>
    <row r="261" spans="1:13">
      <c r="A261" s="99" t="s">
        <v>4519</v>
      </c>
      <c r="B261" s="18">
        <v>-100500</v>
      </c>
      <c r="C261" s="18">
        <v>0</v>
      </c>
      <c r="D261" s="18">
        <f t="shared" si="18"/>
        <v>-100500</v>
      </c>
      <c r="E261" s="99" t="s">
        <v>4521</v>
      </c>
      <c r="F261" s="99">
        <v>0</v>
      </c>
      <c r="G261" s="36">
        <f t="shared" si="21"/>
        <v>80</v>
      </c>
      <c r="H261" s="99">
        <f t="shared" si="15"/>
        <v>0</v>
      </c>
      <c r="I261" s="99">
        <f t="shared" si="13"/>
        <v>-8040000</v>
      </c>
      <c r="J261" s="99">
        <f t="shared" si="20"/>
        <v>0</v>
      </c>
      <c r="K261" s="99">
        <f t="shared" si="17"/>
        <v>-8040000</v>
      </c>
    </row>
    <row r="262" spans="1:13">
      <c r="A262" s="99" t="s">
        <v>4519</v>
      </c>
      <c r="B262" s="18">
        <v>-68670</v>
      </c>
      <c r="C262" s="18">
        <v>0</v>
      </c>
      <c r="D262" s="18">
        <f t="shared" si="18"/>
        <v>-68670</v>
      </c>
      <c r="E262" s="99" t="s">
        <v>4525</v>
      </c>
      <c r="F262" s="99">
        <v>1</v>
      </c>
      <c r="G262" s="36">
        <f t="shared" si="21"/>
        <v>80</v>
      </c>
      <c r="H262" s="99">
        <f t="shared" si="15"/>
        <v>0</v>
      </c>
      <c r="I262" s="99">
        <f t="shared" si="13"/>
        <v>-5493600</v>
      </c>
      <c r="J262" s="99">
        <f t="shared" si="20"/>
        <v>0</v>
      </c>
      <c r="K262" s="99">
        <f t="shared" si="17"/>
        <v>-5493600</v>
      </c>
    </row>
    <row r="263" spans="1:13">
      <c r="A263" s="99" t="s">
        <v>4522</v>
      </c>
      <c r="B263" s="18">
        <v>-118600</v>
      </c>
      <c r="C263" s="18">
        <v>0</v>
      </c>
      <c r="D263" s="18">
        <f t="shared" si="18"/>
        <v>-118600</v>
      </c>
      <c r="E263" s="99" t="s">
        <v>4404</v>
      </c>
      <c r="F263" s="99">
        <v>2</v>
      </c>
      <c r="G263" s="36">
        <f t="shared" si="21"/>
        <v>79</v>
      </c>
      <c r="H263" s="99">
        <f t="shared" si="15"/>
        <v>0</v>
      </c>
      <c r="I263" s="99">
        <f t="shared" si="13"/>
        <v>-9369400</v>
      </c>
      <c r="J263" s="99">
        <f t="shared" si="20"/>
        <v>0</v>
      </c>
      <c r="K263" s="99">
        <f t="shared" si="17"/>
        <v>-9369400</v>
      </c>
      <c r="L263" t="s">
        <v>25</v>
      </c>
    </row>
    <row r="264" spans="1:13">
      <c r="A264" s="99" t="s">
        <v>4532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77</v>
      </c>
      <c r="H264" s="99">
        <f t="shared" si="15"/>
        <v>1</v>
      </c>
      <c r="I264" s="99">
        <f t="shared" si="13"/>
        <v>515204000</v>
      </c>
      <c r="J264" s="99">
        <f t="shared" si="20"/>
        <v>0</v>
      </c>
      <c r="K264" s="99">
        <f t="shared" si="17"/>
        <v>515204000</v>
      </c>
    </row>
    <row r="265" spans="1:13">
      <c r="A265" s="99" t="s">
        <v>4532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77</v>
      </c>
      <c r="H265" s="99">
        <f t="shared" si="15"/>
        <v>0</v>
      </c>
      <c r="I265" s="99">
        <f t="shared" si="13"/>
        <v>-492800000</v>
      </c>
      <c r="J265" s="99">
        <f t="shared" si="20"/>
        <v>0</v>
      </c>
      <c r="K265" s="99">
        <f t="shared" si="17"/>
        <v>-492800000</v>
      </c>
    </row>
    <row r="266" spans="1:13">
      <c r="A266" s="99" t="s">
        <v>4532</v>
      </c>
      <c r="B266" s="18">
        <v>-389000</v>
      </c>
      <c r="C266" s="18">
        <v>0</v>
      </c>
      <c r="D266" s="18">
        <f t="shared" si="18"/>
        <v>-389000</v>
      </c>
      <c r="E266" s="99" t="s">
        <v>4535</v>
      </c>
      <c r="F266" s="99">
        <v>4</v>
      </c>
      <c r="G266" s="36">
        <f t="shared" si="21"/>
        <v>77</v>
      </c>
      <c r="H266" s="99">
        <f t="shared" si="15"/>
        <v>0</v>
      </c>
      <c r="I266" s="99">
        <f t="shared" si="13"/>
        <v>-29953000</v>
      </c>
      <c r="J266" s="99">
        <f t="shared" si="20"/>
        <v>0</v>
      </c>
      <c r="K266" s="99">
        <f t="shared" si="17"/>
        <v>-29953000</v>
      </c>
      <c r="M266" t="s">
        <v>25</v>
      </c>
    </row>
    <row r="267" spans="1:13">
      <c r="A267" s="99" t="s">
        <v>4559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73</v>
      </c>
      <c r="H267" s="99">
        <f t="shared" si="15"/>
        <v>1</v>
      </c>
      <c r="I267" s="99">
        <f t="shared" si="13"/>
        <v>15840000</v>
      </c>
      <c r="J267" s="99">
        <f t="shared" si="20"/>
        <v>0</v>
      </c>
      <c r="K267" s="99">
        <f t="shared" si="17"/>
        <v>15840000</v>
      </c>
    </row>
    <row r="268" spans="1:13">
      <c r="A268" s="99" t="s">
        <v>4560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73</v>
      </c>
      <c r="H268" s="99">
        <f t="shared" si="15"/>
        <v>0</v>
      </c>
      <c r="I268" s="99">
        <f t="shared" si="13"/>
        <v>-7985470</v>
      </c>
      <c r="J268" s="99">
        <f t="shared" si="20"/>
        <v>0</v>
      </c>
      <c r="K268" s="99">
        <f t="shared" si="17"/>
        <v>-7985470</v>
      </c>
    </row>
    <row r="269" spans="1:13">
      <c r="A269" s="99" t="s">
        <v>4563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71</v>
      </c>
      <c r="H269" s="99">
        <f t="shared" si="15"/>
        <v>1</v>
      </c>
      <c r="I269" s="99">
        <f t="shared" si="13"/>
        <v>7000000</v>
      </c>
      <c r="J269" s="99">
        <f t="shared" si="20"/>
        <v>0</v>
      </c>
      <c r="K269" s="99">
        <f t="shared" si="17"/>
        <v>7000000</v>
      </c>
    </row>
    <row r="270" spans="1:13">
      <c r="A270" s="99" t="s">
        <v>4563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71</v>
      </c>
      <c r="H270" s="99">
        <f t="shared" si="15"/>
        <v>1</v>
      </c>
      <c r="I270" s="99">
        <f t="shared" si="13"/>
        <v>182000000</v>
      </c>
      <c r="J270" s="99">
        <f t="shared" si="20"/>
        <v>0</v>
      </c>
      <c r="K270" s="99">
        <f t="shared" si="17"/>
        <v>182000000</v>
      </c>
      <c r="L270" t="s">
        <v>25</v>
      </c>
    </row>
    <row r="271" spans="1:13">
      <c r="A271" s="99" t="s">
        <v>4566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70</v>
      </c>
      <c r="H271" s="99">
        <f t="shared" si="15"/>
        <v>1</v>
      </c>
      <c r="I271" s="99">
        <f t="shared" si="13"/>
        <v>303600000</v>
      </c>
      <c r="J271" s="99">
        <f t="shared" si="20"/>
        <v>0</v>
      </c>
      <c r="K271" s="99">
        <f t="shared" si="17"/>
        <v>303600000</v>
      </c>
    </row>
    <row r="272" spans="1:13">
      <c r="A272" s="99" t="s">
        <v>4566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70</v>
      </c>
      <c r="H272" s="99">
        <f t="shared" si="15"/>
        <v>0</v>
      </c>
      <c r="I272" s="99">
        <f t="shared" si="13"/>
        <v>-6650000</v>
      </c>
      <c r="J272" s="99">
        <f t="shared" si="20"/>
        <v>0</v>
      </c>
      <c r="K272" s="99">
        <f t="shared" si="17"/>
        <v>-6650000</v>
      </c>
    </row>
    <row r="273" spans="1:12">
      <c r="A273" s="99" t="s">
        <v>4571</v>
      </c>
      <c r="B273" s="18">
        <v>-900000</v>
      </c>
      <c r="C273" s="18">
        <v>0</v>
      </c>
      <c r="D273" s="18">
        <f t="shared" si="18"/>
        <v>-900000</v>
      </c>
      <c r="E273" s="99" t="s">
        <v>4577</v>
      </c>
      <c r="F273" s="99">
        <v>1</v>
      </c>
      <c r="G273" s="36">
        <f t="shared" si="21"/>
        <v>69</v>
      </c>
      <c r="H273" s="99">
        <f t="shared" si="15"/>
        <v>0</v>
      </c>
      <c r="I273" s="99">
        <f t="shared" si="13"/>
        <v>-62100000</v>
      </c>
      <c r="J273" s="99">
        <f t="shared" si="20"/>
        <v>0</v>
      </c>
      <c r="K273" s="99">
        <f t="shared" si="17"/>
        <v>-62100000</v>
      </c>
    </row>
    <row r="274" spans="1:12">
      <c r="A274" s="99" t="s">
        <v>4574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68</v>
      </c>
      <c r="H274" s="99">
        <f t="shared" si="15"/>
        <v>1</v>
      </c>
      <c r="I274" s="99">
        <f t="shared" si="13"/>
        <v>167500000</v>
      </c>
      <c r="J274" s="99">
        <f t="shared" si="20"/>
        <v>0</v>
      </c>
      <c r="K274" s="99">
        <f t="shared" si="17"/>
        <v>167500000</v>
      </c>
    </row>
    <row r="275" spans="1:12">
      <c r="A275" s="99" t="s">
        <v>4574</v>
      </c>
      <c r="B275" s="18">
        <v>-1287000</v>
      </c>
      <c r="C275" s="18">
        <v>0</v>
      </c>
      <c r="D275" s="18">
        <f t="shared" si="18"/>
        <v>-1287000</v>
      </c>
      <c r="E275" s="99" t="s">
        <v>4575</v>
      </c>
      <c r="F275" s="99">
        <v>2</v>
      </c>
      <c r="G275" s="36">
        <f t="shared" si="21"/>
        <v>68</v>
      </c>
      <c r="H275" s="99">
        <f t="shared" si="15"/>
        <v>0</v>
      </c>
      <c r="I275" s="99">
        <f t="shared" si="13"/>
        <v>-87516000</v>
      </c>
      <c r="J275" s="99">
        <f t="shared" si="20"/>
        <v>0</v>
      </c>
      <c r="K275" s="99">
        <f t="shared" si="17"/>
        <v>-87516000</v>
      </c>
    </row>
    <row r="276" spans="1:12">
      <c r="A276" s="99" t="s">
        <v>4572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66</v>
      </c>
      <c r="H276" s="99">
        <f t="shared" si="15"/>
        <v>1</v>
      </c>
      <c r="I276" s="99">
        <f t="shared" si="13"/>
        <v>247000000</v>
      </c>
      <c r="J276" s="99">
        <f t="shared" si="20"/>
        <v>0</v>
      </c>
      <c r="K276" s="99">
        <f t="shared" si="17"/>
        <v>247000000</v>
      </c>
    </row>
    <row r="277" spans="1:12">
      <c r="A277" s="99" t="s">
        <v>4584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65</v>
      </c>
      <c r="H277" s="99">
        <f t="shared" si="15"/>
        <v>1</v>
      </c>
      <c r="I277" s="99">
        <f t="shared" si="13"/>
        <v>1344000000</v>
      </c>
      <c r="J277" s="99">
        <f t="shared" si="20"/>
        <v>0</v>
      </c>
      <c r="K277" s="99">
        <f t="shared" si="17"/>
        <v>1344000000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64</v>
      </c>
      <c r="H278" s="99">
        <f t="shared" si="15"/>
        <v>1</v>
      </c>
      <c r="I278" s="99">
        <f t="shared" si="13"/>
        <v>189000000</v>
      </c>
      <c r="J278" s="99">
        <f t="shared" si="20"/>
        <v>0</v>
      </c>
      <c r="K278" s="99">
        <f t="shared" si="17"/>
        <v>189000000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64</v>
      </c>
      <c r="H279" s="99">
        <f t="shared" si="15"/>
        <v>1</v>
      </c>
      <c r="I279" s="99">
        <f t="shared" si="13"/>
        <v>126000000</v>
      </c>
      <c r="J279" s="99">
        <f t="shared" si="20"/>
        <v>0</v>
      </c>
      <c r="K279" s="99">
        <f t="shared" si="17"/>
        <v>126000000</v>
      </c>
    </row>
    <row r="280" spans="1:12">
      <c r="A280" s="99" t="s">
        <v>4588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63</v>
      </c>
      <c r="H280" s="99">
        <f t="shared" si="15"/>
        <v>0</v>
      </c>
      <c r="I280" s="99">
        <f t="shared" si="13"/>
        <v>-126000000</v>
      </c>
      <c r="J280" s="99">
        <f t="shared" si="20"/>
        <v>0</v>
      </c>
      <c r="K280" s="99">
        <f t="shared" si="17"/>
        <v>-126000000</v>
      </c>
    </row>
    <row r="281" spans="1:12">
      <c r="A281" s="99" t="s">
        <v>4590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62</v>
      </c>
      <c r="H281" s="99">
        <f t="shared" si="15"/>
        <v>0</v>
      </c>
      <c r="I281" s="99">
        <f t="shared" si="13"/>
        <v>-620000000</v>
      </c>
      <c r="J281" s="99">
        <f t="shared" si="20"/>
        <v>0</v>
      </c>
      <c r="K281" s="99">
        <f t="shared" si="17"/>
        <v>-620000000</v>
      </c>
    </row>
    <row r="282" spans="1:12">
      <c r="A282" s="99" t="s">
        <v>4592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58</v>
      </c>
      <c r="H282" s="99">
        <f t="shared" si="15"/>
        <v>0</v>
      </c>
      <c r="I282" s="99">
        <f t="shared" si="13"/>
        <v>-968600000</v>
      </c>
      <c r="J282" s="99">
        <f t="shared" ref="J282:J296" si="22">C282*(G282-H282)</f>
        <v>0</v>
      </c>
      <c r="K282" s="99">
        <f t="shared" ref="K282:K296" si="23">D282*(G282-H282)</f>
        <v>-968600000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56</v>
      </c>
      <c r="H283" s="99">
        <f t="shared" si="15"/>
        <v>1</v>
      </c>
      <c r="I283" s="99">
        <f t="shared" si="13"/>
        <v>660000000</v>
      </c>
      <c r="J283" s="99">
        <f t="shared" si="22"/>
        <v>0</v>
      </c>
      <c r="K283" s="99">
        <f t="shared" si="23"/>
        <v>660000000</v>
      </c>
    </row>
    <row r="284" spans="1:12">
      <c r="A284" s="99" t="s">
        <v>4606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55</v>
      </c>
      <c r="H284" s="99">
        <f t="shared" si="15"/>
        <v>1</v>
      </c>
      <c r="I284" s="99">
        <f t="shared" si="13"/>
        <v>102600000</v>
      </c>
      <c r="J284" s="99">
        <f t="shared" si="22"/>
        <v>0</v>
      </c>
      <c r="K284" s="99">
        <f t="shared" si="23"/>
        <v>102600000</v>
      </c>
    </row>
    <row r="285" spans="1:12">
      <c r="A285" s="99" t="s">
        <v>4606</v>
      </c>
      <c r="B285" s="18">
        <v>-3995000</v>
      </c>
      <c r="C285" s="18">
        <v>0</v>
      </c>
      <c r="D285" s="18">
        <f t="shared" si="18"/>
        <v>-3995000</v>
      </c>
      <c r="E285" s="99" t="s">
        <v>4608</v>
      </c>
      <c r="F285" s="99">
        <v>3</v>
      </c>
      <c r="G285" s="36">
        <f t="shared" si="21"/>
        <v>55</v>
      </c>
      <c r="H285" s="99">
        <f t="shared" si="15"/>
        <v>0</v>
      </c>
      <c r="I285" s="99">
        <f t="shared" si="13"/>
        <v>-219725000</v>
      </c>
      <c r="J285" s="99">
        <f t="shared" si="22"/>
        <v>0</v>
      </c>
      <c r="K285" s="99">
        <f t="shared" si="23"/>
        <v>-219725000</v>
      </c>
    </row>
    <row r="286" spans="1:12">
      <c r="A286" s="99" t="s">
        <v>4616</v>
      </c>
      <c r="B286" s="18">
        <v>-2010700</v>
      </c>
      <c r="C286" s="18">
        <v>0</v>
      </c>
      <c r="D286" s="18">
        <f t="shared" si="18"/>
        <v>-2010700</v>
      </c>
      <c r="E286" s="99" t="s">
        <v>4621</v>
      </c>
      <c r="F286" s="99">
        <v>0</v>
      </c>
      <c r="G286" s="36">
        <f t="shared" si="21"/>
        <v>52</v>
      </c>
      <c r="H286" s="99">
        <f t="shared" si="15"/>
        <v>0</v>
      </c>
      <c r="I286" s="99">
        <f t="shared" si="13"/>
        <v>-104556400</v>
      </c>
      <c r="J286" s="99">
        <f t="shared" si="22"/>
        <v>0</v>
      </c>
      <c r="K286" s="99">
        <f t="shared" si="23"/>
        <v>-104556400</v>
      </c>
    </row>
    <row r="287" spans="1:12">
      <c r="A287" s="99" t="s">
        <v>4616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52</v>
      </c>
      <c r="H287" s="99">
        <f t="shared" si="15"/>
        <v>0</v>
      </c>
      <c r="I287" s="99">
        <f t="shared" si="13"/>
        <v>-208000000</v>
      </c>
      <c r="J287" s="99">
        <f t="shared" si="22"/>
        <v>0</v>
      </c>
      <c r="K287" s="99">
        <f t="shared" si="23"/>
        <v>-208000000</v>
      </c>
    </row>
    <row r="288" spans="1:12">
      <c r="A288" s="99" t="s">
        <v>4622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51</v>
      </c>
      <c r="H288" s="99">
        <f t="shared" si="15"/>
        <v>0</v>
      </c>
      <c r="I288" s="99">
        <f t="shared" si="13"/>
        <v>-290700000</v>
      </c>
      <c r="J288" s="99">
        <f t="shared" si="22"/>
        <v>0</v>
      </c>
      <c r="K288" s="99">
        <f t="shared" si="23"/>
        <v>-290700000</v>
      </c>
      <c r="L288" t="s">
        <v>25</v>
      </c>
    </row>
    <row r="289" spans="1:13">
      <c r="A289" s="99" t="s">
        <v>4632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49</v>
      </c>
      <c r="H289" s="99">
        <f t="shared" si="15"/>
        <v>1</v>
      </c>
      <c r="I289" s="99">
        <f t="shared" si="13"/>
        <v>384000000</v>
      </c>
      <c r="J289" s="99">
        <f t="shared" si="22"/>
        <v>0</v>
      </c>
      <c r="K289" s="99">
        <f t="shared" si="23"/>
        <v>384000000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48</v>
      </c>
      <c r="H290" s="99">
        <f t="shared" si="15"/>
        <v>0</v>
      </c>
      <c r="I290" s="99">
        <f t="shared" si="13"/>
        <v>-384000000</v>
      </c>
      <c r="J290" s="99">
        <f t="shared" si="22"/>
        <v>0</v>
      </c>
      <c r="K290" s="99">
        <f t="shared" si="23"/>
        <v>-384000000</v>
      </c>
    </row>
    <row r="291" spans="1:13">
      <c r="A291" s="99" t="s">
        <v>4637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45</v>
      </c>
      <c r="H291" s="99">
        <f t="shared" si="15"/>
        <v>0</v>
      </c>
      <c r="I291" s="99">
        <f t="shared" si="13"/>
        <v>-270000000</v>
      </c>
      <c r="J291" s="99">
        <f t="shared" si="22"/>
        <v>0</v>
      </c>
      <c r="K291" s="99">
        <f t="shared" si="23"/>
        <v>-270000000</v>
      </c>
    </row>
    <row r="292" spans="1:13">
      <c r="A292" s="99" t="s">
        <v>4637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45</v>
      </c>
      <c r="H292" s="99">
        <f t="shared" si="15"/>
        <v>0</v>
      </c>
      <c r="I292" s="99">
        <f t="shared" si="13"/>
        <v>-3479175</v>
      </c>
      <c r="J292" s="99">
        <f t="shared" si="22"/>
        <v>0</v>
      </c>
      <c r="K292" s="99">
        <f t="shared" si="23"/>
        <v>-3479175</v>
      </c>
    </row>
    <row r="293" spans="1:13">
      <c r="A293" s="99" t="s">
        <v>4642</v>
      </c>
      <c r="B293" s="18">
        <v>-96850</v>
      </c>
      <c r="C293" s="18">
        <v>0</v>
      </c>
      <c r="D293" s="18">
        <f t="shared" si="18"/>
        <v>-96850</v>
      </c>
      <c r="E293" s="99" t="s">
        <v>4648</v>
      </c>
      <c r="F293" s="99">
        <v>2</v>
      </c>
      <c r="G293" s="36">
        <f t="shared" si="21"/>
        <v>44</v>
      </c>
      <c r="H293" s="99">
        <f t="shared" si="15"/>
        <v>0</v>
      </c>
      <c r="I293" s="99">
        <f t="shared" si="13"/>
        <v>-4261400</v>
      </c>
      <c r="J293" s="99">
        <f t="shared" si="22"/>
        <v>0</v>
      </c>
      <c r="K293" s="99">
        <f t="shared" si="23"/>
        <v>-4261400</v>
      </c>
    </row>
    <row r="294" spans="1:13">
      <c r="A294" s="99" t="s">
        <v>4652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42</v>
      </c>
      <c r="H294" s="99">
        <f t="shared" si="15"/>
        <v>0</v>
      </c>
      <c r="I294" s="99">
        <f t="shared" si="13"/>
        <v>-1890000</v>
      </c>
      <c r="J294" s="99">
        <f t="shared" si="22"/>
        <v>0</v>
      </c>
      <c r="K294" s="99">
        <f t="shared" si="23"/>
        <v>-1890000</v>
      </c>
    </row>
    <row r="295" spans="1:13">
      <c r="A295" s="99" t="s">
        <v>4652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42</v>
      </c>
      <c r="H295" s="99">
        <f t="shared" si="15"/>
        <v>0</v>
      </c>
      <c r="I295" s="99">
        <f t="shared" si="13"/>
        <v>-2009616</v>
      </c>
      <c r="J295" s="99">
        <f t="shared" si="22"/>
        <v>0</v>
      </c>
      <c r="K295" s="99">
        <f t="shared" si="23"/>
        <v>-2009616</v>
      </c>
      <c r="M295" t="s">
        <v>25</v>
      </c>
    </row>
    <row r="296" spans="1:13">
      <c r="A296" s="99" t="s">
        <v>4668</v>
      </c>
      <c r="B296" s="18">
        <v>-200000</v>
      </c>
      <c r="C296" s="18">
        <v>0</v>
      </c>
      <c r="D296" s="18">
        <f t="shared" si="18"/>
        <v>-200000</v>
      </c>
      <c r="E296" s="99" t="s">
        <v>4669</v>
      </c>
      <c r="F296" s="99">
        <v>3</v>
      </c>
      <c r="G296" s="36">
        <f t="shared" si="21"/>
        <v>41</v>
      </c>
      <c r="H296" s="99">
        <f t="shared" si="15"/>
        <v>0</v>
      </c>
      <c r="I296" s="99">
        <f t="shared" si="13"/>
        <v>-8200000</v>
      </c>
      <c r="J296" s="99">
        <f t="shared" si="22"/>
        <v>0</v>
      </c>
      <c r="K296" s="99">
        <f t="shared" si="23"/>
        <v>-8200000</v>
      </c>
    </row>
    <row r="297" spans="1:13">
      <c r="A297" s="99" t="s">
        <v>4679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38</v>
      </c>
      <c r="H297" s="99">
        <f t="shared" si="15"/>
        <v>0</v>
      </c>
      <c r="I297" s="99">
        <f t="shared" ref="I297:I308" si="24">B297*(G297-H297)</f>
        <v>-2297480</v>
      </c>
      <c r="J297" s="99">
        <f t="shared" ref="J297:J308" si="25">C297*(G297-H297)</f>
        <v>0</v>
      </c>
      <c r="K297" s="99">
        <f t="shared" ref="K297:K308" si="26">D297*(G297-H297)</f>
        <v>-2297480</v>
      </c>
    </row>
    <row r="298" spans="1:13">
      <c r="A298" s="99" t="s">
        <v>4685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37</v>
      </c>
      <c r="H298" s="99">
        <f t="shared" si="15"/>
        <v>0</v>
      </c>
      <c r="I298" s="99">
        <f t="shared" si="24"/>
        <v>-2220000</v>
      </c>
      <c r="J298" s="99">
        <f t="shared" si="25"/>
        <v>0</v>
      </c>
      <c r="K298" s="99">
        <f t="shared" si="26"/>
        <v>-2220000</v>
      </c>
    </row>
    <row r="299" spans="1:13">
      <c r="A299" s="99" t="s">
        <v>4685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37</v>
      </c>
      <c r="H299" s="99">
        <f t="shared" si="15"/>
        <v>1</v>
      </c>
      <c r="I299" s="99">
        <f t="shared" si="24"/>
        <v>86400000</v>
      </c>
      <c r="J299" s="99">
        <f t="shared" si="25"/>
        <v>0</v>
      </c>
      <c r="K299" s="99">
        <f t="shared" si="26"/>
        <v>86400000</v>
      </c>
    </row>
    <row r="300" spans="1:13">
      <c r="A300" s="99" t="s">
        <v>4685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37</v>
      </c>
      <c r="H300" s="99">
        <f t="shared" si="15"/>
        <v>0</v>
      </c>
      <c r="I300" s="99">
        <f t="shared" si="24"/>
        <v>-5075031</v>
      </c>
      <c r="J300" s="99">
        <f t="shared" si="25"/>
        <v>0</v>
      </c>
      <c r="K300" s="99">
        <f t="shared" si="26"/>
        <v>-5075031</v>
      </c>
      <c r="L300" t="s">
        <v>25</v>
      </c>
      <c r="M300" t="s">
        <v>25</v>
      </c>
    </row>
    <row r="301" spans="1:13">
      <c r="A301" s="99" t="s">
        <v>4685</v>
      </c>
      <c r="B301" s="18">
        <v>-51400</v>
      </c>
      <c r="C301" s="18">
        <v>0</v>
      </c>
      <c r="D301" s="18">
        <f t="shared" si="18"/>
        <v>-51400</v>
      </c>
      <c r="E301" s="99" t="s">
        <v>4692</v>
      </c>
      <c r="F301" s="99">
        <v>1</v>
      </c>
      <c r="G301" s="36">
        <f t="shared" si="27"/>
        <v>37</v>
      </c>
      <c r="H301" s="99">
        <f t="shared" si="15"/>
        <v>0</v>
      </c>
      <c r="I301" s="99">
        <f t="shared" si="24"/>
        <v>-1901800</v>
      </c>
      <c r="J301" s="99">
        <f t="shared" si="25"/>
        <v>0</v>
      </c>
      <c r="K301" s="99">
        <f t="shared" si="26"/>
        <v>-1901800</v>
      </c>
    </row>
    <row r="302" spans="1:13">
      <c r="A302" s="99" t="s">
        <v>4695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36</v>
      </c>
      <c r="H302" s="99">
        <f t="shared" si="15"/>
        <v>0</v>
      </c>
      <c r="I302" s="99">
        <f t="shared" si="24"/>
        <v>-81000000</v>
      </c>
      <c r="J302" s="99">
        <f t="shared" si="25"/>
        <v>0</v>
      </c>
      <c r="K302" s="99">
        <f t="shared" si="26"/>
        <v>-81000000</v>
      </c>
      <c r="M302" t="s">
        <v>25</v>
      </c>
    </row>
    <row r="303" spans="1:13">
      <c r="A303" s="99" t="s">
        <v>4695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36</v>
      </c>
      <c r="H303" s="99">
        <f t="shared" si="15"/>
        <v>1</v>
      </c>
      <c r="I303" s="99">
        <f t="shared" si="24"/>
        <v>24500000</v>
      </c>
      <c r="J303" s="99">
        <f t="shared" si="25"/>
        <v>0</v>
      </c>
      <c r="K303" s="99">
        <f t="shared" si="26"/>
        <v>24500000</v>
      </c>
    </row>
    <row r="304" spans="1:13">
      <c r="A304" s="99" t="s">
        <v>4724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34</v>
      </c>
      <c r="H304" s="99">
        <f t="shared" si="15"/>
        <v>1</v>
      </c>
      <c r="I304" s="99">
        <f t="shared" si="24"/>
        <v>18810000</v>
      </c>
      <c r="J304" s="99">
        <f t="shared" si="25"/>
        <v>0</v>
      </c>
      <c r="K304" s="99">
        <f t="shared" si="26"/>
        <v>18810000</v>
      </c>
    </row>
    <row r="305" spans="1:13">
      <c r="A305" s="99" t="s">
        <v>4724</v>
      </c>
      <c r="B305" s="18">
        <v>-276773</v>
      </c>
      <c r="C305" s="18">
        <v>0</v>
      </c>
      <c r="D305" s="18">
        <f t="shared" si="18"/>
        <v>-276773</v>
      </c>
      <c r="E305" s="99" t="s">
        <v>4728</v>
      </c>
      <c r="F305" s="99">
        <v>2</v>
      </c>
      <c r="G305" s="36">
        <f t="shared" si="27"/>
        <v>34</v>
      </c>
      <c r="H305" s="99">
        <f t="shared" si="15"/>
        <v>0</v>
      </c>
      <c r="I305" s="99">
        <f t="shared" si="24"/>
        <v>-9410282</v>
      </c>
      <c r="J305" s="99">
        <f t="shared" si="25"/>
        <v>0</v>
      </c>
      <c r="K305" s="99">
        <f t="shared" si="26"/>
        <v>-9410282</v>
      </c>
    </row>
    <row r="306" spans="1:13">
      <c r="A306" s="99" t="s">
        <v>4729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32</v>
      </c>
      <c r="H306" s="99">
        <f t="shared" si="15"/>
        <v>0</v>
      </c>
      <c r="I306" s="99">
        <f t="shared" si="24"/>
        <v>-3670720</v>
      </c>
      <c r="J306" s="99">
        <f t="shared" si="25"/>
        <v>0</v>
      </c>
      <c r="K306" s="99">
        <f t="shared" si="26"/>
        <v>-3670720</v>
      </c>
      <c r="M306" t="s">
        <v>25</v>
      </c>
    </row>
    <row r="307" spans="1:13">
      <c r="A307" s="99" t="s">
        <v>4745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28</v>
      </c>
      <c r="H307" s="99">
        <f t="shared" si="15"/>
        <v>0</v>
      </c>
      <c r="I307" s="99">
        <f t="shared" si="24"/>
        <v>-28000</v>
      </c>
      <c r="J307" s="99">
        <f t="shared" si="25"/>
        <v>0</v>
      </c>
      <c r="K307" s="99">
        <f t="shared" si="26"/>
        <v>-28000</v>
      </c>
    </row>
    <row r="308" spans="1:13">
      <c r="A308" s="99" t="s">
        <v>4751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27</v>
      </c>
      <c r="H308" s="99">
        <f t="shared" si="15"/>
        <v>1</v>
      </c>
      <c r="I308" s="99">
        <f t="shared" si="24"/>
        <v>6500000</v>
      </c>
      <c r="J308" s="99">
        <f t="shared" si="25"/>
        <v>0</v>
      </c>
      <c r="K308" s="99">
        <f t="shared" si="26"/>
        <v>6500000</v>
      </c>
    </row>
    <row r="309" spans="1:13">
      <c r="A309" s="99" t="s">
        <v>4751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27</v>
      </c>
      <c r="H309" s="99">
        <f t="shared" ref="H309:H340" si="29">IF(B309&gt;0,1,0)</f>
        <v>0</v>
      </c>
      <c r="I309" s="99">
        <f t="shared" ref="I309:I340" si="30">B309*(G309-H309)</f>
        <v>-1488240</v>
      </c>
      <c r="J309" s="99">
        <f t="shared" ref="J309:J340" si="31">C309*(G309-H309)</f>
        <v>0</v>
      </c>
      <c r="K309" s="99">
        <f t="shared" ref="K309:K340" si="32">D309*(G309-H309)</f>
        <v>-1488240</v>
      </c>
    </row>
    <row r="310" spans="1:13">
      <c r="A310" s="99" t="s">
        <v>4763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24</v>
      </c>
      <c r="H310" s="99">
        <f t="shared" si="29"/>
        <v>0</v>
      </c>
      <c r="I310" s="99">
        <f t="shared" si="30"/>
        <v>-2760000</v>
      </c>
      <c r="J310" s="99">
        <f t="shared" si="31"/>
        <v>0</v>
      </c>
      <c r="K310" s="99">
        <f t="shared" si="32"/>
        <v>-2760000</v>
      </c>
    </row>
    <row r="311" spans="1:13">
      <c r="A311" s="99" t="s">
        <v>4753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23</v>
      </c>
      <c r="H311" s="99">
        <f t="shared" si="29"/>
        <v>0</v>
      </c>
      <c r="I311" s="99">
        <f t="shared" si="30"/>
        <v>-4934627</v>
      </c>
      <c r="J311" s="99">
        <f t="shared" si="31"/>
        <v>0</v>
      </c>
      <c r="K311" s="99">
        <f t="shared" si="32"/>
        <v>-4934627</v>
      </c>
      <c r="L311" t="s">
        <v>25</v>
      </c>
    </row>
    <row r="312" spans="1:13">
      <c r="A312" s="99" t="s">
        <v>4755</v>
      </c>
      <c r="B312" s="18">
        <v>-324747</v>
      </c>
      <c r="C312" s="18">
        <v>0</v>
      </c>
      <c r="D312" s="18">
        <f t="shared" si="18"/>
        <v>-324747</v>
      </c>
      <c r="E312" s="99" t="s">
        <v>4764</v>
      </c>
      <c r="F312" s="99">
        <v>3</v>
      </c>
      <c r="G312" s="36">
        <f t="shared" si="28"/>
        <v>21</v>
      </c>
      <c r="H312" s="99">
        <f t="shared" si="29"/>
        <v>0</v>
      </c>
      <c r="I312" s="99">
        <f t="shared" si="30"/>
        <v>-6819687</v>
      </c>
      <c r="J312" s="99">
        <f t="shared" si="31"/>
        <v>0</v>
      </c>
      <c r="K312" s="99">
        <f t="shared" si="32"/>
        <v>-6819687</v>
      </c>
      <c r="M312" t="s">
        <v>25</v>
      </c>
    </row>
    <row r="313" spans="1:13">
      <c r="A313" s="99" t="s">
        <v>4773</v>
      </c>
      <c r="B313" s="18">
        <v>-297992</v>
      </c>
      <c r="C313" s="18">
        <v>0</v>
      </c>
      <c r="D313" s="18">
        <f t="shared" si="18"/>
        <v>-297992</v>
      </c>
      <c r="E313" s="99" t="s">
        <v>4774</v>
      </c>
      <c r="F313" s="99">
        <v>2</v>
      </c>
      <c r="G313" s="36">
        <f t="shared" si="28"/>
        <v>18</v>
      </c>
      <c r="H313" s="99">
        <f t="shared" si="29"/>
        <v>0</v>
      </c>
      <c r="I313" s="99">
        <f t="shared" si="30"/>
        <v>-5363856</v>
      </c>
      <c r="J313" s="99">
        <f t="shared" si="31"/>
        <v>0</v>
      </c>
      <c r="K313" s="99">
        <f t="shared" si="32"/>
        <v>-5363856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16</v>
      </c>
      <c r="H314" s="99">
        <f t="shared" si="29"/>
        <v>0</v>
      </c>
      <c r="I314" s="99">
        <f t="shared" si="30"/>
        <v>-2080000</v>
      </c>
      <c r="J314" s="99">
        <f t="shared" si="31"/>
        <v>0</v>
      </c>
      <c r="K314" s="99">
        <f t="shared" si="32"/>
        <v>-2080000</v>
      </c>
    </row>
    <row r="315" spans="1:13">
      <c r="A315" s="99" t="s">
        <v>4783</v>
      </c>
      <c r="B315" s="18">
        <v>-40000</v>
      </c>
      <c r="C315" s="18">
        <v>0</v>
      </c>
      <c r="D315" s="18">
        <f t="shared" si="18"/>
        <v>-40000</v>
      </c>
      <c r="E315" s="99" t="s">
        <v>4800</v>
      </c>
      <c r="F315" s="99">
        <v>4</v>
      </c>
      <c r="G315" s="36">
        <f t="shared" si="28"/>
        <v>15</v>
      </c>
      <c r="H315" s="99">
        <f t="shared" si="29"/>
        <v>0</v>
      </c>
      <c r="I315" s="99">
        <f t="shared" si="30"/>
        <v>-600000</v>
      </c>
      <c r="J315" s="99">
        <f t="shared" si="31"/>
        <v>0</v>
      </c>
      <c r="K315" s="99">
        <f t="shared" si="32"/>
        <v>-600000</v>
      </c>
    </row>
    <row r="316" spans="1:13">
      <c r="A316" s="99" t="s">
        <v>4806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11</v>
      </c>
      <c r="H316" s="99">
        <f t="shared" si="29"/>
        <v>1</v>
      </c>
      <c r="I316" s="99">
        <f t="shared" si="30"/>
        <v>16696900</v>
      </c>
      <c r="J316" s="99">
        <f t="shared" si="31"/>
        <v>0</v>
      </c>
      <c r="K316" s="99">
        <f t="shared" si="32"/>
        <v>16696900</v>
      </c>
    </row>
    <row r="317" spans="1:13">
      <c r="A317" s="11" t="s">
        <v>4832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7</v>
      </c>
      <c r="H317" s="99">
        <f t="shared" si="29"/>
        <v>0</v>
      </c>
      <c r="I317" s="99">
        <f t="shared" si="30"/>
        <v>-3839801</v>
      </c>
      <c r="J317" s="99">
        <f t="shared" si="31"/>
        <v>0</v>
      </c>
      <c r="K317" s="99">
        <f t="shared" si="32"/>
        <v>-3839801</v>
      </c>
    </row>
    <row r="318" spans="1:13">
      <c r="A318" s="11" t="s">
        <v>4844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6</v>
      </c>
      <c r="H318" s="99">
        <f t="shared" si="29"/>
        <v>1</v>
      </c>
      <c r="I318" s="99">
        <f t="shared" si="30"/>
        <v>12250000</v>
      </c>
      <c r="J318" s="99">
        <f t="shared" si="31"/>
        <v>0</v>
      </c>
      <c r="K318" s="99">
        <f t="shared" si="32"/>
        <v>12250000</v>
      </c>
    </row>
    <row r="319" spans="1:13">
      <c r="A319" s="11" t="s">
        <v>4844</v>
      </c>
      <c r="B319" s="18">
        <v>-1866154</v>
      </c>
      <c r="C319" s="18">
        <v>0</v>
      </c>
      <c r="D319" s="18">
        <f t="shared" si="18"/>
        <v>-1866154</v>
      </c>
      <c r="E319" s="19" t="s">
        <v>4854</v>
      </c>
      <c r="F319" s="99">
        <v>0</v>
      </c>
      <c r="G319" s="36">
        <f t="shared" si="28"/>
        <v>6</v>
      </c>
      <c r="H319" s="99">
        <f t="shared" si="29"/>
        <v>0</v>
      </c>
      <c r="I319" s="99">
        <f t="shared" si="30"/>
        <v>-11196924</v>
      </c>
      <c r="J319" s="99">
        <f t="shared" si="31"/>
        <v>0</v>
      </c>
      <c r="K319" s="99">
        <f t="shared" si="32"/>
        <v>-11196924</v>
      </c>
    </row>
    <row r="320" spans="1:13">
      <c r="A320" s="11" t="s">
        <v>4844</v>
      </c>
      <c r="B320" s="18">
        <v>-36600</v>
      </c>
      <c r="C320" s="18">
        <v>0</v>
      </c>
      <c r="D320" s="18">
        <f t="shared" si="18"/>
        <v>-36600</v>
      </c>
      <c r="E320" s="99" t="s">
        <v>4855</v>
      </c>
      <c r="F320" s="99">
        <v>1</v>
      </c>
      <c r="G320" s="36">
        <f t="shared" ref="G320:G339" si="33">G321+F320</f>
        <v>6</v>
      </c>
      <c r="H320" s="99">
        <f t="shared" ref="H320:H339" si="34">IF(B320&gt;0,1,0)</f>
        <v>0</v>
      </c>
      <c r="I320" s="99">
        <f t="shared" ref="I320:I339" si="35">B320*(G320-H320)</f>
        <v>-219600</v>
      </c>
      <c r="J320" s="99">
        <f t="shared" ref="J320:J339" si="36">C320*(G320-H320)</f>
        <v>0</v>
      </c>
      <c r="K320" s="99">
        <f t="shared" ref="K320:K339" si="37">D320*(G320-H320)</f>
        <v>-219600</v>
      </c>
    </row>
    <row r="321" spans="1:14">
      <c r="A321" s="99" t="s">
        <v>4856</v>
      </c>
      <c r="B321" s="18">
        <v>-492000</v>
      </c>
      <c r="C321" s="18">
        <v>0</v>
      </c>
      <c r="D321" s="18">
        <f t="shared" si="18"/>
        <v>-492000</v>
      </c>
      <c r="E321" s="99" t="s">
        <v>4857</v>
      </c>
      <c r="F321" s="99">
        <v>0</v>
      </c>
      <c r="G321" s="36">
        <f t="shared" si="33"/>
        <v>5</v>
      </c>
      <c r="H321" s="99">
        <f t="shared" si="34"/>
        <v>0</v>
      </c>
      <c r="I321" s="99">
        <f t="shared" si="35"/>
        <v>-2460000</v>
      </c>
      <c r="J321" s="99">
        <f t="shared" si="36"/>
        <v>0</v>
      </c>
      <c r="K321" s="99">
        <f t="shared" si="37"/>
        <v>-2460000</v>
      </c>
      <c r="M321" t="s">
        <v>25</v>
      </c>
    </row>
    <row r="322" spans="1:14">
      <c r="A322" s="99" t="s">
        <v>4856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5</v>
      </c>
      <c r="H322" s="99">
        <f t="shared" si="34"/>
        <v>0</v>
      </c>
      <c r="I322" s="99">
        <f t="shared" si="35"/>
        <v>-2590000</v>
      </c>
      <c r="J322" s="99">
        <f t="shared" si="36"/>
        <v>0</v>
      </c>
      <c r="K322" s="99">
        <f t="shared" si="37"/>
        <v>-2590000</v>
      </c>
    </row>
    <row r="323" spans="1:14">
      <c r="A323" s="99" t="s">
        <v>4856</v>
      </c>
      <c r="B323" s="18">
        <v>-40000</v>
      </c>
      <c r="C323" s="18">
        <v>0</v>
      </c>
      <c r="D323" s="18">
        <f t="shared" si="18"/>
        <v>-40000</v>
      </c>
      <c r="E323" s="99" t="s">
        <v>4859</v>
      </c>
      <c r="F323" s="99">
        <v>1</v>
      </c>
      <c r="G323" s="36">
        <f t="shared" si="33"/>
        <v>5</v>
      </c>
      <c r="H323" s="99">
        <f t="shared" si="34"/>
        <v>0</v>
      </c>
      <c r="I323" s="99">
        <f t="shared" si="35"/>
        <v>-200000</v>
      </c>
      <c r="J323" s="99">
        <f t="shared" si="36"/>
        <v>0</v>
      </c>
      <c r="K323" s="99">
        <f t="shared" si="37"/>
        <v>-200000</v>
      </c>
    </row>
    <row r="324" spans="1:14">
      <c r="A324" s="99" t="s">
        <v>4860</v>
      </c>
      <c r="B324" s="18">
        <v>-66000</v>
      </c>
      <c r="C324" s="18">
        <v>0</v>
      </c>
      <c r="D324" s="18">
        <f t="shared" si="18"/>
        <v>-66000</v>
      </c>
      <c r="E324" s="99" t="s">
        <v>4859</v>
      </c>
      <c r="F324" s="99">
        <v>1</v>
      </c>
      <c r="G324" s="36">
        <f t="shared" si="33"/>
        <v>4</v>
      </c>
      <c r="H324" s="99">
        <f t="shared" si="34"/>
        <v>0</v>
      </c>
      <c r="I324" s="99">
        <f t="shared" si="35"/>
        <v>-264000</v>
      </c>
      <c r="J324" s="99">
        <f t="shared" si="36"/>
        <v>0</v>
      </c>
      <c r="K324" s="99">
        <f t="shared" si="37"/>
        <v>-264000</v>
      </c>
    </row>
    <row r="325" spans="1:14">
      <c r="A325" s="99" t="s">
        <v>4861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3</v>
      </c>
      <c r="H325" s="99">
        <f t="shared" si="34"/>
        <v>0</v>
      </c>
      <c r="I325" s="99">
        <f t="shared" si="35"/>
        <v>-390000</v>
      </c>
      <c r="J325" s="99">
        <f t="shared" si="36"/>
        <v>0</v>
      </c>
      <c r="K325" s="99">
        <f t="shared" si="37"/>
        <v>-390000</v>
      </c>
    </row>
    <row r="326" spans="1:14">
      <c r="A326" s="99" t="s">
        <v>4861</v>
      </c>
      <c r="B326" s="18">
        <v>-200500</v>
      </c>
      <c r="C326" s="18">
        <v>0</v>
      </c>
      <c r="D326" s="18">
        <f t="shared" si="18"/>
        <v>-200500</v>
      </c>
      <c r="E326" s="99" t="s">
        <v>4862</v>
      </c>
      <c r="F326" s="99">
        <v>2</v>
      </c>
      <c r="G326" s="36">
        <f t="shared" si="33"/>
        <v>3</v>
      </c>
      <c r="H326" s="99">
        <f t="shared" si="34"/>
        <v>0</v>
      </c>
      <c r="I326" s="99">
        <f t="shared" si="35"/>
        <v>-601500</v>
      </c>
      <c r="J326" s="99">
        <f t="shared" si="36"/>
        <v>0</v>
      </c>
      <c r="K326" s="99">
        <f t="shared" si="37"/>
        <v>-601500</v>
      </c>
      <c r="M326" t="s">
        <v>25</v>
      </c>
    </row>
    <row r="327" spans="1:14">
      <c r="A327" s="99" t="s">
        <v>4868</v>
      </c>
      <c r="B327" s="18">
        <v>1563000</v>
      </c>
      <c r="C327" s="18">
        <v>0</v>
      </c>
      <c r="D327" s="18">
        <f t="shared" si="18"/>
        <v>1563000</v>
      </c>
      <c r="E327" s="99" t="s">
        <v>4875</v>
      </c>
      <c r="F327" s="99">
        <v>0</v>
      </c>
      <c r="G327" s="36">
        <f t="shared" si="33"/>
        <v>1</v>
      </c>
      <c r="H327" s="99">
        <f t="shared" si="34"/>
        <v>1</v>
      </c>
      <c r="I327" s="99">
        <f t="shared" si="35"/>
        <v>0</v>
      </c>
      <c r="J327" s="99">
        <f t="shared" si="36"/>
        <v>0</v>
      </c>
      <c r="K327" s="99">
        <f t="shared" si="37"/>
        <v>0</v>
      </c>
    </row>
    <row r="328" spans="1:14">
      <c r="A328" s="99" t="s">
        <v>4868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1</v>
      </c>
      <c r="G328" s="36">
        <f t="shared" si="33"/>
        <v>1</v>
      </c>
      <c r="H328" s="99">
        <f t="shared" si="34"/>
        <v>0</v>
      </c>
      <c r="I328" s="99">
        <f t="shared" si="35"/>
        <v>-160000</v>
      </c>
      <c r="J328" s="99">
        <f t="shared" si="36"/>
        <v>0</v>
      </c>
      <c r="K328" s="99">
        <f t="shared" si="37"/>
        <v>-160000</v>
      </c>
      <c r="N328" t="s">
        <v>25</v>
      </c>
    </row>
    <row r="329" spans="1:14">
      <c r="A329" s="99"/>
      <c r="B329" s="18"/>
      <c r="C329" s="18"/>
      <c r="D329" s="18"/>
      <c r="E329" s="99"/>
      <c r="F329" s="99"/>
      <c r="G329" s="36">
        <f t="shared" si="33"/>
        <v>0</v>
      </c>
      <c r="H329" s="99">
        <f t="shared" si="34"/>
        <v>0</v>
      </c>
      <c r="I329" s="99">
        <f t="shared" si="35"/>
        <v>0</v>
      </c>
      <c r="J329" s="99">
        <f t="shared" si="36"/>
        <v>0</v>
      </c>
      <c r="K329" s="99">
        <f t="shared" si="37"/>
        <v>0</v>
      </c>
    </row>
    <row r="330" spans="1:14">
      <c r="A330" s="99"/>
      <c r="B330" s="18"/>
      <c r="C330" s="18"/>
      <c r="D330" s="18"/>
      <c r="E330" s="99"/>
      <c r="F330" s="99"/>
      <c r="G330" s="36">
        <f t="shared" si="33"/>
        <v>0</v>
      </c>
      <c r="H330" s="99">
        <f t="shared" si="34"/>
        <v>0</v>
      </c>
      <c r="I330" s="99">
        <f t="shared" si="35"/>
        <v>0</v>
      </c>
      <c r="J330" s="99">
        <f t="shared" si="36"/>
        <v>0</v>
      </c>
      <c r="K330" s="99">
        <f t="shared" si="37"/>
        <v>0</v>
      </c>
    </row>
    <row r="331" spans="1:14">
      <c r="A331" s="99"/>
      <c r="B331" s="18"/>
      <c r="C331" s="18"/>
      <c r="D331" s="18"/>
      <c r="E331" s="99"/>
      <c r="F331" s="99"/>
      <c r="G331" s="36">
        <f t="shared" si="33"/>
        <v>0</v>
      </c>
      <c r="H331" s="99">
        <f t="shared" si="34"/>
        <v>0</v>
      </c>
      <c r="I331" s="99">
        <f t="shared" si="35"/>
        <v>0</v>
      </c>
      <c r="J331" s="99">
        <f t="shared" si="36"/>
        <v>0</v>
      </c>
      <c r="K331" s="99">
        <f t="shared" si="37"/>
        <v>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1679307</v>
      </c>
      <c r="C341" s="29">
        <f>SUM(C2:C340)</f>
        <v>0</v>
      </c>
      <c r="D341" s="29">
        <f>SUM(D2:D340)</f>
        <v>1679307</v>
      </c>
      <c r="E341" s="11"/>
      <c r="F341" s="11"/>
      <c r="G341" s="11"/>
      <c r="H341" s="11"/>
      <c r="I341" s="29">
        <f>SUM(I2:I340)</f>
        <v>19194561687</v>
      </c>
      <c r="J341" s="29">
        <f>SUM(J2:J340)</f>
        <v>8687685429</v>
      </c>
      <c r="K341" s="29">
        <f>SUM(K2:K340)</f>
        <v>10506876258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18125176.28611898</v>
      </c>
      <c r="J344" s="29">
        <f>J341/G2</f>
        <v>8203668.9603399429</v>
      </c>
      <c r="K344" s="29">
        <f>K341/G2</f>
        <v>9921507.3257790376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2875946</v>
      </c>
      <c r="G348" t="s">
        <v>25</v>
      </c>
      <c r="J348">
        <f>J341/I341*1448696</f>
        <v>655696.92788424774</v>
      </c>
      <c r="K348">
        <f>K341/I341*1448696</f>
        <v>792999.07211575226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4783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4793</v>
      </c>
      <c r="B75" s="113">
        <v>-20000</v>
      </c>
      <c r="C75" s="99" t="s">
        <v>4801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4348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4348</v>
      </c>
      <c r="B11" s="18">
        <v>-3000900</v>
      </c>
      <c r="C11" s="18">
        <v>0</v>
      </c>
      <c r="D11" s="113">
        <f t="shared" si="0"/>
        <v>-3000900</v>
      </c>
      <c r="E11" s="19" t="s">
        <v>4356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4349</v>
      </c>
      <c r="B12" s="18">
        <v>-3000900</v>
      </c>
      <c r="C12" s="18">
        <v>0</v>
      </c>
      <c r="D12" s="113">
        <f t="shared" si="0"/>
        <v>-3000900</v>
      </c>
      <c r="E12" s="20" t="s">
        <v>4356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4349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4368</v>
      </c>
      <c r="B14" s="18">
        <v>-138360</v>
      </c>
      <c r="C14" s="18">
        <v>0</v>
      </c>
      <c r="D14" s="113">
        <f t="shared" si="0"/>
        <v>-138360</v>
      </c>
      <c r="E14" s="20" t="s">
        <v>4369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4371</v>
      </c>
      <c r="B15" s="18">
        <v>-3000900</v>
      </c>
      <c r="C15" s="18">
        <v>0</v>
      </c>
      <c r="D15" s="117">
        <f t="shared" si="0"/>
        <v>-3000900</v>
      </c>
      <c r="E15" s="20" t="s">
        <v>4356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4377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4394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4405</v>
      </c>
      <c r="B18" s="18">
        <v>-4098523</v>
      </c>
      <c r="C18" s="18">
        <v>0</v>
      </c>
      <c r="D18" s="113">
        <f t="shared" si="0"/>
        <v>-4098523</v>
      </c>
      <c r="E18" s="20" t="s">
        <v>4404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4405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4405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4401</v>
      </c>
      <c r="B21" s="18">
        <v>-7500</v>
      </c>
      <c r="C21" s="18">
        <v>0</v>
      </c>
      <c r="D21" s="113">
        <f t="shared" si="0"/>
        <v>-7500</v>
      </c>
      <c r="E21" s="19" t="s">
        <v>4402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4438</v>
      </c>
      <c r="B22" s="18">
        <v>7964</v>
      </c>
      <c r="C22" s="18">
        <v>65497</v>
      </c>
      <c r="D22" s="113">
        <f t="shared" si="0"/>
        <v>-57533</v>
      </c>
      <c r="E22" s="19" t="s">
        <v>4439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4352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4378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4379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4380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4381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4381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4386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4388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4389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4393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4395</v>
      </c>
    </row>
    <row r="82" spans="4:5">
      <c r="D82" s="114">
        <v>-142143</v>
      </c>
      <c r="E82" s="54" t="s">
        <v>4399</v>
      </c>
    </row>
    <row r="83" spans="4:5">
      <c r="D83" s="114">
        <v>-128352</v>
      </c>
      <c r="E83" s="54" t="s">
        <v>4398</v>
      </c>
    </row>
    <row r="84" spans="4:5">
      <c r="D84" s="114">
        <v>-6035000</v>
      </c>
      <c r="E84" s="54" t="s">
        <v>4408</v>
      </c>
    </row>
    <row r="85" spans="4:5">
      <c r="D85" s="114">
        <v>-55957</v>
      </c>
      <c r="E85" s="54" t="s">
        <v>4407</v>
      </c>
    </row>
    <row r="86" spans="4:5">
      <c r="D86" s="114">
        <v>7500</v>
      </c>
      <c r="E86" s="54" t="s">
        <v>4406</v>
      </c>
    </row>
    <row r="87" spans="4:5">
      <c r="D87" s="114">
        <v>1700000</v>
      </c>
      <c r="E87" s="54" t="s">
        <v>4409</v>
      </c>
    </row>
    <row r="88" spans="4:5">
      <c r="D88" s="114">
        <v>129648</v>
      </c>
      <c r="E88" s="54" t="s">
        <v>4410</v>
      </c>
    </row>
    <row r="89" spans="4:5">
      <c r="D89" s="114">
        <v>1000000</v>
      </c>
      <c r="E89" s="54" t="s">
        <v>4413</v>
      </c>
    </row>
    <row r="90" spans="4:5">
      <c r="D90" s="114">
        <v>-53003</v>
      </c>
      <c r="E90" s="54" t="s">
        <v>4414</v>
      </c>
    </row>
    <row r="91" spans="4:5">
      <c r="D91" s="114">
        <v>-23690</v>
      </c>
      <c r="E91" s="54" t="s">
        <v>4414</v>
      </c>
    </row>
    <row r="92" spans="4:5">
      <c r="D92" s="114">
        <v>-216910</v>
      </c>
      <c r="E92" s="54" t="s">
        <v>4416</v>
      </c>
    </row>
    <row r="93" spans="4:5">
      <c r="D93" s="114">
        <v>-30304</v>
      </c>
      <c r="E93" s="54" t="s">
        <v>4420</v>
      </c>
    </row>
    <row r="94" spans="4:5">
      <c r="D94" s="114">
        <v>-10067</v>
      </c>
      <c r="E94" s="54" t="s">
        <v>4421</v>
      </c>
    </row>
    <row r="95" spans="4:5">
      <c r="D95" s="114">
        <v>-16248</v>
      </c>
      <c r="E95" s="54" t="s">
        <v>4423</v>
      </c>
    </row>
    <row r="96" spans="4:5">
      <c r="D96" s="114">
        <v>-87695</v>
      </c>
      <c r="E96" s="54" t="s">
        <v>4424</v>
      </c>
    </row>
    <row r="97" spans="4:7">
      <c r="D97" s="114">
        <v>-29231</v>
      </c>
      <c r="E97" s="54" t="s">
        <v>4425</v>
      </c>
    </row>
    <row r="98" spans="4:7">
      <c r="D98" s="114">
        <v>1000000</v>
      </c>
      <c r="E98" s="54" t="s">
        <v>4426</v>
      </c>
    </row>
    <row r="99" spans="4:7">
      <c r="D99" s="114">
        <v>-35250</v>
      </c>
      <c r="E99" s="54" t="s">
        <v>4427</v>
      </c>
    </row>
    <row r="100" spans="4:7">
      <c r="D100" s="114">
        <v>-57477</v>
      </c>
      <c r="E100" s="54" t="s">
        <v>4428</v>
      </c>
    </row>
    <row r="101" spans="4:7">
      <c r="D101" s="114">
        <v>-13565</v>
      </c>
      <c r="E101" s="54" t="s">
        <v>4429</v>
      </c>
    </row>
    <row r="102" spans="4:7">
      <c r="D102" s="114">
        <v>-9429</v>
      </c>
      <c r="E102" s="54" t="s">
        <v>4430</v>
      </c>
    </row>
    <row r="103" spans="4:7">
      <c r="D103" s="114">
        <v>-600000</v>
      </c>
      <c r="E103" s="54" t="s">
        <v>4431</v>
      </c>
    </row>
    <row r="104" spans="4:7">
      <c r="D104" s="114">
        <v>335</v>
      </c>
      <c r="E104" s="54" t="s">
        <v>4433</v>
      </c>
    </row>
    <row r="105" spans="4:7">
      <c r="D105" s="114">
        <v>31026</v>
      </c>
      <c r="E105" s="54" t="s">
        <v>4434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4440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4442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4447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4449</v>
      </c>
      <c r="B6" s="18">
        <v>3000000</v>
      </c>
      <c r="C6" s="18">
        <v>0</v>
      </c>
      <c r="D6" s="113">
        <f t="shared" si="0"/>
        <v>3000000</v>
      </c>
      <c r="E6" s="19" t="s">
        <v>4450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4446</v>
      </c>
      <c r="B7" s="18">
        <v>-2000700</v>
      </c>
      <c r="C7" s="18">
        <v>0</v>
      </c>
      <c r="D7" s="113">
        <f t="shared" si="0"/>
        <v>-2000700</v>
      </c>
      <c r="E7" s="19" t="s">
        <v>4480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4446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4446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4446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4487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4487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4493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4501</v>
      </c>
      <c r="B16" s="18">
        <v>12000000</v>
      </c>
      <c r="C16" s="18">
        <v>0</v>
      </c>
      <c r="D16" s="113">
        <f t="shared" si="0"/>
        <v>12000000</v>
      </c>
      <c r="E16" s="20" t="s">
        <v>4502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4503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4505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4507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4507</v>
      </c>
      <c r="B20" s="18">
        <v>0</v>
      </c>
      <c r="C20" s="18">
        <v>-8034286</v>
      </c>
      <c r="D20" s="113">
        <f t="shared" si="0"/>
        <v>8034286</v>
      </c>
      <c r="E20" s="19" t="s">
        <v>4509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4507</v>
      </c>
      <c r="B21" s="18">
        <v>-10000</v>
      </c>
      <c r="C21" s="18">
        <v>0</v>
      </c>
      <c r="D21" s="113">
        <f t="shared" si="0"/>
        <v>-10000</v>
      </c>
      <c r="E21" s="19" t="s">
        <v>4510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4511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4518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4519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4519</v>
      </c>
      <c r="B25" s="18">
        <v>-100500</v>
      </c>
      <c r="C25" s="18">
        <v>0</v>
      </c>
      <c r="D25" s="113">
        <f t="shared" si="0"/>
        <v>-100500</v>
      </c>
      <c r="E25" s="19" t="s">
        <v>4521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4519</v>
      </c>
      <c r="B26" s="18">
        <v>-68670</v>
      </c>
      <c r="C26" s="18">
        <v>0</v>
      </c>
      <c r="D26" s="113">
        <f t="shared" si="0"/>
        <v>-68670</v>
      </c>
      <c r="E26" s="19" t="s">
        <v>4525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4522</v>
      </c>
      <c r="B27" s="18">
        <v>-118600</v>
      </c>
      <c r="C27" s="18">
        <v>0</v>
      </c>
      <c r="D27" s="113">
        <f t="shared" si="0"/>
        <v>-118600</v>
      </c>
      <c r="E27" s="19" t="s">
        <v>4527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4532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4532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4532</v>
      </c>
      <c r="B30" s="18">
        <v>-389000</v>
      </c>
      <c r="C30" s="18">
        <v>0</v>
      </c>
      <c r="D30" s="113">
        <f t="shared" si="0"/>
        <v>-389000</v>
      </c>
      <c r="E30" s="19" t="s">
        <v>4534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4438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4559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4559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4563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4563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4566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4566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4574</v>
      </c>
      <c r="B11" s="18">
        <v>-1287000</v>
      </c>
      <c r="C11" s="18">
        <v>0</v>
      </c>
      <c r="D11" s="113">
        <f t="shared" si="0"/>
        <v>-1287000</v>
      </c>
      <c r="E11" s="19" t="s">
        <v>4575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4590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4592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4602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4606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4511</v>
      </c>
      <c r="B22" s="18">
        <v>-3995000</v>
      </c>
      <c r="C22" s="18">
        <v>0</v>
      </c>
      <c r="D22" s="113">
        <f t="shared" si="0"/>
        <v>-3995000</v>
      </c>
      <c r="E22" s="19" t="s">
        <v>4608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4518</v>
      </c>
      <c r="B23" s="18">
        <v>-2010700</v>
      </c>
      <c r="C23" s="18">
        <v>0</v>
      </c>
      <c r="D23" s="113">
        <f t="shared" si="0"/>
        <v>-2010700</v>
      </c>
      <c r="E23" s="19" t="s">
        <v>4619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4616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4622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-77315</v>
      </c>
      <c r="C29" s="18">
        <v>0</v>
      </c>
      <c r="D29" s="113">
        <f t="shared" si="0"/>
        <v>-77315</v>
      </c>
      <c r="E29" s="19" t="s">
        <v>4640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-66850</v>
      </c>
      <c r="C30" s="18">
        <v>0</v>
      </c>
      <c r="D30" s="113">
        <f t="shared" si="0"/>
        <v>-66850</v>
      </c>
      <c r="E30" s="19" t="s">
        <v>4647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4646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4642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4652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4652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4668</v>
      </c>
      <c r="B5" s="18">
        <v>-200000</v>
      </c>
      <c r="C5" s="18">
        <v>0</v>
      </c>
      <c r="D5" s="113">
        <f t="shared" si="0"/>
        <v>-200000</v>
      </c>
      <c r="E5" s="20" t="s">
        <v>4665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4679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4685</v>
      </c>
      <c r="B10" s="18">
        <v>-51400</v>
      </c>
      <c r="C10" s="18">
        <v>0</v>
      </c>
      <c r="D10" s="113">
        <f t="shared" si="0"/>
        <v>-51400</v>
      </c>
      <c r="E10" s="19" t="s">
        <v>4692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4724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4724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4724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4729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4745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4751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4751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4763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4753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4755</v>
      </c>
      <c r="B22" s="18">
        <v>-324747</v>
      </c>
      <c r="C22" s="18">
        <v>0</v>
      </c>
      <c r="D22" s="113">
        <f t="shared" si="0"/>
        <v>-324747</v>
      </c>
      <c r="E22" s="19" t="s">
        <v>4764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4773</v>
      </c>
      <c r="B23" s="18">
        <v>-297992</v>
      </c>
      <c r="C23" s="18">
        <v>0</v>
      </c>
      <c r="D23" s="113">
        <f t="shared" si="0"/>
        <v>-297992</v>
      </c>
      <c r="E23" s="19" t="s">
        <v>4774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4783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4637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4637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4642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4642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4752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4760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4761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4762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4765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4775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4799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4350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4351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6" t="s">
        <v>1089</v>
      </c>
      <c r="R21" s="236"/>
      <c r="S21" s="236"/>
      <c r="T21" s="236"/>
      <c r="U21" s="96"/>
      <c r="V21" s="96"/>
      <c r="W21" s="96"/>
      <c r="X21" s="96"/>
      <c r="Y21" s="96"/>
      <c r="Z21" s="96"/>
    </row>
    <row r="22" spans="5:35">
      <c r="O22" s="99"/>
      <c r="P22" s="99"/>
      <c r="Q22" s="236"/>
      <c r="R22" s="236"/>
      <c r="S22" s="236"/>
      <c r="T22" s="236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7" t="s">
        <v>1090</v>
      </c>
      <c r="R23" s="238" t="s">
        <v>1091</v>
      </c>
      <c r="S23" s="237" t="s">
        <v>1092</v>
      </c>
      <c r="T23" s="239" t="s">
        <v>1093</v>
      </c>
      <c r="AD23" t="s">
        <v>25</v>
      </c>
    </row>
    <row r="24" spans="5:35">
      <c r="O24" s="99"/>
      <c r="P24" s="99"/>
      <c r="Q24" s="237"/>
      <c r="R24" s="238"/>
      <c r="S24" s="237"/>
      <c r="T24" s="239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4599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4600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4601</v>
      </c>
      <c r="J263" t="s">
        <v>25</v>
      </c>
      <c r="K263" t="s">
        <v>25</v>
      </c>
    </row>
    <row r="264" spans="1:11">
      <c r="A264" s="99" t="s">
        <v>4595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4630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4629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4616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4632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4637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4637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4652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4550</v>
      </c>
      <c r="B1" t="s">
        <v>4553</v>
      </c>
      <c r="C1" t="s">
        <v>4554</v>
      </c>
    </row>
    <row r="2" spans="1:3">
      <c r="A2" t="s">
        <v>4551</v>
      </c>
      <c r="B2" t="s">
        <v>4555</v>
      </c>
      <c r="C2" t="s">
        <v>4556</v>
      </c>
    </row>
    <row r="3" spans="1:3">
      <c r="A3" t="s">
        <v>4552</v>
      </c>
      <c r="B3" t="s">
        <v>4554</v>
      </c>
      <c r="C3" t="s">
        <v>4557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4" sqref="A14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4779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4769</v>
      </c>
      <c r="B2" s="95">
        <v>10300</v>
      </c>
      <c r="C2" s="95">
        <v>0</v>
      </c>
      <c r="D2" s="99" t="s">
        <v>4780</v>
      </c>
      <c r="E2" s="96"/>
      <c r="F2" s="96"/>
      <c r="G2" s="96"/>
    </row>
    <row r="3" spans="1:7">
      <c r="A3" s="99" t="s">
        <v>4769</v>
      </c>
      <c r="B3" s="95">
        <v>0</v>
      </c>
      <c r="C3" s="95">
        <v>5500</v>
      </c>
      <c r="D3" s="99" t="s">
        <v>4781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4793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4810</v>
      </c>
      <c r="B6" s="95">
        <v>0</v>
      </c>
      <c r="C6" s="95">
        <v>3000</v>
      </c>
      <c r="D6" s="99" t="s">
        <v>4814</v>
      </c>
      <c r="E6" s="96"/>
      <c r="F6" s="96"/>
      <c r="G6" s="96"/>
    </row>
    <row r="7" spans="1:7">
      <c r="A7" s="99" t="s">
        <v>4810</v>
      </c>
      <c r="B7" s="95">
        <v>9200</v>
      </c>
      <c r="C7" s="95">
        <v>0</v>
      </c>
      <c r="D7" s="99" t="s">
        <v>4780</v>
      </c>
      <c r="E7" s="96"/>
      <c r="F7" s="96"/>
      <c r="G7" s="96"/>
    </row>
    <row r="8" spans="1:7">
      <c r="A8" s="99" t="s">
        <v>4812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4822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4822</v>
      </c>
      <c r="B10" s="95">
        <v>10200</v>
      </c>
      <c r="C10" s="95">
        <v>0</v>
      </c>
      <c r="D10" s="99" t="s">
        <v>4780</v>
      </c>
      <c r="E10" s="96"/>
      <c r="F10" s="96"/>
      <c r="G10" s="96"/>
    </row>
    <row r="11" spans="1:7">
      <c r="A11" s="99" t="s">
        <v>4844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4867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4868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15500</v>
      </c>
      <c r="D24" s="99"/>
      <c r="E24" s="96"/>
      <c r="F24" s="96"/>
      <c r="G24" s="96"/>
    </row>
    <row r="26" spans="1:7">
      <c r="A26" s="23" t="s">
        <v>4812</v>
      </c>
      <c r="B26" s="229">
        <v>6700</v>
      </c>
      <c r="C26" s="229">
        <v>0</v>
      </c>
      <c r="D26" s="23" t="s">
        <v>4815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K30" sqref="K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4811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4358</v>
      </c>
      <c r="L21" s="33" t="s">
        <v>4360</v>
      </c>
      <c r="M21" s="96" t="s">
        <v>4359</v>
      </c>
      <c r="N21" s="189" t="s">
        <v>4361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4584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9"/>
  <sheetViews>
    <sheetView topLeftCell="E76" zoomScale="85" zoomScaleNormal="85" workbookViewId="0">
      <selection activeCell="L115" sqref="L11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4342</v>
      </c>
      <c r="AT9" s="99" t="s">
        <v>4343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4365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4344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1679307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4364</v>
      </c>
      <c r="V19" s="73" t="s">
        <v>4366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4460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4473</v>
      </c>
      <c r="L21" s="117">
        <f>-N34</f>
        <v>376071522.49162155</v>
      </c>
      <c r="M21" s="168" t="s">
        <v>4301</v>
      </c>
      <c r="N21" s="113">
        <f t="shared" ref="N21:N25" si="9">O21*P21</f>
        <v>15249365</v>
      </c>
      <c r="O21" s="99">
        <v>82429</v>
      </c>
      <c r="P21" s="187">
        <f>P55</f>
        <v>185</v>
      </c>
      <c r="Q21" s="169">
        <v>595156</v>
      </c>
      <c r="R21" s="168" t="s">
        <v>4394</v>
      </c>
      <c r="S21" s="194">
        <f>S20-52</f>
        <v>108</v>
      </c>
      <c r="T21" s="168" t="s">
        <v>4397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4476</v>
      </c>
      <c r="L22" s="117">
        <f>-اسفند97!D63</f>
        <v>-756465</v>
      </c>
      <c r="M22" s="168" t="s">
        <v>4392</v>
      </c>
      <c r="N22" s="113">
        <f t="shared" si="9"/>
        <v>62453277</v>
      </c>
      <c r="O22" s="99">
        <v>19265</v>
      </c>
      <c r="P22" s="187">
        <f>P44</f>
        <v>3241.8</v>
      </c>
      <c r="Q22" s="169">
        <v>1484689</v>
      </c>
      <c r="R22" s="168" t="s">
        <v>4432</v>
      </c>
      <c r="S22" s="168">
        <f>S21-7</f>
        <v>101</v>
      </c>
      <c r="T22" s="19" t="s">
        <v>4435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8"/>
      <c r="L23" s="117"/>
      <c r="M23" s="218" t="s">
        <v>4411</v>
      </c>
      <c r="N23" s="113">
        <f t="shared" si="9"/>
        <v>78304718.700000003</v>
      </c>
      <c r="O23" s="99">
        <v>144447</v>
      </c>
      <c r="P23" s="187">
        <f>P48</f>
        <v>542.1</v>
      </c>
      <c r="Q23" s="169">
        <v>2197673</v>
      </c>
      <c r="R23" s="168" t="s">
        <v>4432</v>
      </c>
      <c r="S23" s="168">
        <f>S22</f>
        <v>101</v>
      </c>
      <c r="T23" s="19" t="s">
        <v>4436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379716567.49162155</v>
      </c>
      <c r="G24" s="95">
        <f t="shared" si="0"/>
        <v>-99410222.109682918</v>
      </c>
      <c r="H24" s="11"/>
      <c r="I24" s="96"/>
      <c r="J24" s="96"/>
      <c r="K24" s="218"/>
      <c r="L24" s="117"/>
      <c r="M24" s="218" t="s">
        <v>4545</v>
      </c>
      <c r="N24" s="113">
        <f t="shared" si="9"/>
        <v>80177917.200000003</v>
      </c>
      <c r="O24" s="99">
        <v>19918</v>
      </c>
      <c r="P24" s="187">
        <f>P49</f>
        <v>4025.4</v>
      </c>
      <c r="Q24" s="169">
        <v>1353959</v>
      </c>
      <c r="R24" s="168" t="s">
        <v>4432</v>
      </c>
      <c r="S24" s="200">
        <f>S23</f>
        <v>101</v>
      </c>
      <c r="T24" s="19" t="s">
        <v>4478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4396</v>
      </c>
      <c r="N25" s="113">
        <f t="shared" si="9"/>
        <v>9459534.4000000004</v>
      </c>
      <c r="O25" s="99">
        <v>1828</v>
      </c>
      <c r="P25" s="99">
        <f>P47</f>
        <v>5174.8</v>
      </c>
      <c r="Q25" s="169">
        <v>1614398</v>
      </c>
      <c r="R25" s="168" t="s">
        <v>4440</v>
      </c>
      <c r="S25" s="168">
        <f>S24-3</f>
        <v>98</v>
      </c>
      <c r="T25" s="19" t="s">
        <v>4515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4522</v>
      </c>
      <c r="S26" s="199">
        <f>S25-22</f>
        <v>76</v>
      </c>
      <c r="T26" s="168" t="s">
        <v>4523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4462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75</v>
      </c>
      <c r="T27" s="168" t="s">
        <v>4529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4396</v>
      </c>
      <c r="N28" s="113">
        <f>O28*P28</f>
        <v>243215.6</v>
      </c>
      <c r="O28" s="69">
        <v>47</v>
      </c>
      <c r="P28" s="99">
        <f>P47</f>
        <v>5174.8</v>
      </c>
      <c r="Q28" s="169">
        <v>1023940</v>
      </c>
      <c r="R28" s="168" t="s">
        <v>4530</v>
      </c>
      <c r="S28" s="199">
        <f>S27-2</f>
        <v>73</v>
      </c>
      <c r="T28" s="168" t="s">
        <v>4536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8"/>
      <c r="L29" s="117"/>
      <c r="M29" s="191" t="s">
        <v>4392</v>
      </c>
      <c r="N29" s="113">
        <f>O29*P29</f>
        <v>346872.60000000003</v>
      </c>
      <c r="O29" s="69">
        <v>107</v>
      </c>
      <c r="P29" s="99">
        <f>P44</f>
        <v>3241.8</v>
      </c>
      <c r="Q29" s="169">
        <v>168846</v>
      </c>
      <c r="R29" s="168" t="s">
        <v>3691</v>
      </c>
      <c r="S29" s="199">
        <f>S28-28</f>
        <v>45</v>
      </c>
      <c r="T29" s="168" t="s">
        <v>4635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8"/>
      <c r="L30" s="117"/>
      <c r="M30" s="191" t="s">
        <v>4411</v>
      </c>
      <c r="N30" s="113">
        <f>O30*P30</f>
        <v>378385.8</v>
      </c>
      <c r="O30" s="69">
        <v>698</v>
      </c>
      <c r="P30" s="99">
        <f>P48</f>
        <v>542.1</v>
      </c>
      <c r="Q30" s="169">
        <v>250962</v>
      </c>
      <c r="R30" s="168" t="s">
        <v>4679</v>
      </c>
      <c r="S30" s="199">
        <f>S29-10</f>
        <v>35</v>
      </c>
      <c r="T30" s="168" t="s">
        <v>4680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4441</v>
      </c>
      <c r="N31" s="113">
        <f>O31*P31</f>
        <v>3206975</v>
      </c>
      <c r="O31" s="69">
        <v>17335</v>
      </c>
      <c r="P31" s="99">
        <f>P55</f>
        <v>185</v>
      </c>
      <c r="Q31" s="169">
        <v>350718</v>
      </c>
      <c r="R31" s="218" t="s">
        <v>4731</v>
      </c>
      <c r="S31" s="199">
        <f>S30-7</f>
        <v>28</v>
      </c>
      <c r="T31" s="218" t="s">
        <v>4732</v>
      </c>
      <c r="U31" s="218">
        <v>502.3</v>
      </c>
      <c r="V31" s="218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8" t="s">
        <v>3684</v>
      </c>
      <c r="S32" s="199">
        <f>S31-15</f>
        <v>13</v>
      </c>
      <c r="T32" s="218" t="s">
        <v>4782</v>
      </c>
      <c r="U32" s="218">
        <v>486.4</v>
      </c>
      <c r="V32" s="218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8" t="s">
        <v>4783</v>
      </c>
      <c r="S33" s="199">
        <f>S32-1</f>
        <v>12</v>
      </c>
      <c r="T33" s="218" t="s">
        <v>4784</v>
      </c>
      <c r="U33" s="218">
        <v>476.1</v>
      </c>
      <c r="V33" s="218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-S145</f>
        <v>-376071522.49162155</v>
      </c>
      <c r="O34" s="96" t="s">
        <v>25</v>
      </c>
      <c r="P34" s="96" t="s">
        <v>25</v>
      </c>
      <c r="Q34" s="169">
        <v>10881161</v>
      </c>
      <c r="R34" s="218" t="s">
        <v>4783</v>
      </c>
      <c r="S34" s="199">
        <f>S33</f>
        <v>12</v>
      </c>
      <c r="T34" s="218" t="s">
        <v>4785</v>
      </c>
      <c r="U34" s="218">
        <v>3095</v>
      </c>
      <c r="V34" s="218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8" t="s">
        <v>4783</v>
      </c>
      <c r="S35" s="199">
        <f>S34</f>
        <v>12</v>
      </c>
      <c r="T35" s="218" t="s">
        <v>4786</v>
      </c>
      <c r="U35" s="218">
        <v>168.8</v>
      </c>
      <c r="V35" s="218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40500000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8" t="s">
        <v>4783</v>
      </c>
      <c r="S36" s="199">
        <f>S35</f>
        <v>12</v>
      </c>
      <c r="T36" s="218" t="s">
        <v>4787</v>
      </c>
      <c r="U36" s="218">
        <v>3859.8</v>
      </c>
      <c r="V36" s="218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4850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8" t="s">
        <v>4793</v>
      </c>
      <c r="S37" s="199">
        <f>S36-1</f>
        <v>11</v>
      </c>
      <c r="T37" s="218" t="s">
        <v>4796</v>
      </c>
      <c r="U37" s="218">
        <v>3099.2</v>
      </c>
      <c r="V37" s="218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31500000</v>
      </c>
      <c r="O38" s="96"/>
      <c r="P38" s="96" t="s">
        <v>25</v>
      </c>
      <c r="Q38" s="169">
        <v>13402013</v>
      </c>
      <c r="R38" s="218" t="s">
        <v>4793</v>
      </c>
      <c r="S38" s="199">
        <f>S37</f>
        <v>11</v>
      </c>
      <c r="T38" s="218" t="s">
        <v>4797</v>
      </c>
      <c r="U38" s="218">
        <v>3853.3</v>
      </c>
      <c r="V38" s="218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4512</v>
      </c>
      <c r="L39" s="117">
        <v>-20000</v>
      </c>
      <c r="M39" s="168" t="s">
        <v>4849</v>
      </c>
      <c r="N39" s="113">
        <v>-18000000</v>
      </c>
      <c r="O39" s="96"/>
      <c r="P39" s="114"/>
      <c r="Q39" s="169">
        <v>138358</v>
      </c>
      <c r="R39" s="218" t="s">
        <v>4802</v>
      </c>
      <c r="S39" s="199">
        <f>S38-1</f>
        <v>10</v>
      </c>
      <c r="T39" s="218" t="s">
        <v>4803</v>
      </c>
      <c r="U39" s="218">
        <v>3130</v>
      </c>
      <c r="V39" s="218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4851</v>
      </c>
      <c r="N40" s="113">
        <v>-47000000</v>
      </c>
      <c r="O40" s="96"/>
      <c r="P40" s="96"/>
      <c r="Q40" s="169">
        <v>3377001</v>
      </c>
      <c r="R40" s="218" t="s">
        <v>4812</v>
      </c>
      <c r="S40" s="199">
        <f>S39-4</f>
        <v>6</v>
      </c>
      <c r="T40" s="218" t="s">
        <v>4818</v>
      </c>
      <c r="U40" s="218">
        <v>3324.8</v>
      </c>
      <c r="V40" s="218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4415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8" t="s">
        <v>4812</v>
      </c>
      <c r="S41" s="199">
        <f>S40</f>
        <v>6</v>
      </c>
      <c r="T41" s="218" t="s">
        <v>4816</v>
      </c>
      <c r="U41" s="218">
        <v>4176.3</v>
      </c>
      <c r="V41" s="218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4618</v>
      </c>
      <c r="L42" s="117">
        <v>2000000</v>
      </c>
      <c r="M42" s="168" t="s">
        <v>4461</v>
      </c>
      <c r="N42" s="113">
        <v>6562</v>
      </c>
      <c r="P42" t="s">
        <v>25</v>
      </c>
      <c r="Q42" s="169">
        <v>15499033</v>
      </c>
      <c r="R42" s="218" t="s">
        <v>4812</v>
      </c>
      <c r="S42" s="199">
        <f>S41</f>
        <v>6</v>
      </c>
      <c r="T42" s="218" t="s">
        <v>4817</v>
      </c>
      <c r="U42" s="218">
        <v>525.1</v>
      </c>
      <c r="V42" s="218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168"/>
      <c r="N43" s="113"/>
      <c r="O43" s="99"/>
      <c r="P43" s="99"/>
      <c r="Q43" s="169">
        <v>30673673</v>
      </c>
      <c r="R43" s="218" t="s">
        <v>4822</v>
      </c>
      <c r="S43" s="199">
        <f>S42-1</f>
        <v>5</v>
      </c>
      <c r="T43" s="218" t="s">
        <v>4827</v>
      </c>
      <c r="U43" s="218">
        <v>529.79999999999995</v>
      </c>
      <c r="V43" s="218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9" t="s">
        <v>4392</v>
      </c>
      <c r="N44" s="113">
        <f>O44*P44</f>
        <v>86880240</v>
      </c>
      <c r="O44" s="99">
        <v>26800</v>
      </c>
      <c r="P44" s="99">
        <v>3241.8</v>
      </c>
      <c r="Q44" s="169">
        <v>5420397</v>
      </c>
      <c r="R44" s="218" t="s">
        <v>4822</v>
      </c>
      <c r="S44" s="199">
        <f>S43</f>
        <v>5</v>
      </c>
      <c r="T44" s="218" t="s">
        <v>4828</v>
      </c>
      <c r="U44" s="218">
        <v>5395.9</v>
      </c>
      <c r="V44" s="218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4594</v>
      </c>
      <c r="N45" s="117">
        <f t="shared" ref="N45:N56" si="15">O45*P45</f>
        <v>708600</v>
      </c>
      <c r="O45" s="69">
        <v>2000</v>
      </c>
      <c r="P45" s="69">
        <v>354.3</v>
      </c>
      <c r="Q45" s="169">
        <v>38533873</v>
      </c>
      <c r="R45" s="218" t="s">
        <v>4822</v>
      </c>
      <c r="S45" s="199">
        <f>S44</f>
        <v>5</v>
      </c>
      <c r="T45" s="218" t="s">
        <v>4829</v>
      </c>
      <c r="U45" s="218">
        <v>3355.8</v>
      </c>
      <c r="V45" s="218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4579</v>
      </c>
      <c r="N46" s="117">
        <f t="shared" si="15"/>
        <v>1119100</v>
      </c>
      <c r="O46" s="69">
        <v>1000</v>
      </c>
      <c r="P46" s="69">
        <v>1119.0999999999999</v>
      </c>
      <c r="Q46" s="169"/>
      <c r="R46" s="168"/>
      <c r="S46" s="168"/>
      <c r="T46" s="168"/>
      <c r="U46" s="168"/>
      <c r="V46" s="218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4396</v>
      </c>
      <c r="N47" s="113">
        <f t="shared" si="15"/>
        <v>148951443.20000002</v>
      </c>
      <c r="O47" s="69">
        <v>28784</v>
      </c>
      <c r="P47" s="69">
        <v>5174.8</v>
      </c>
      <c r="Q47" s="169">
        <f>SUM(N21:N25)-SUM(Q20:Q46)</f>
        <v>1133659.2999999821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4411</v>
      </c>
      <c r="N48" s="117">
        <f t="shared" si="15"/>
        <v>57622519.5</v>
      </c>
      <c r="O48" s="69">
        <v>106295</v>
      </c>
      <c r="P48" s="69">
        <v>542.1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4545</v>
      </c>
      <c r="N49" s="117">
        <f t="shared" si="15"/>
        <v>4359508.2</v>
      </c>
      <c r="O49" s="69">
        <v>1083</v>
      </c>
      <c r="P49" s="69">
        <v>4025.4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4544</v>
      </c>
      <c r="N50" s="117">
        <f t="shared" si="15"/>
        <v>13903457.699999999</v>
      </c>
      <c r="O50" s="69">
        <v>2913</v>
      </c>
      <c r="P50" s="69">
        <v>4772.8999999999996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4627</v>
      </c>
      <c r="N51" s="117">
        <f t="shared" si="15"/>
        <v>3518490</v>
      </c>
      <c r="O51" s="69">
        <v>5100</v>
      </c>
      <c r="P51" s="69">
        <v>689.9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4364</v>
      </c>
      <c r="V51" s="73" t="s">
        <v>4366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4598</v>
      </c>
      <c r="N52" s="113">
        <f t="shared" si="15"/>
        <v>210313.59999999998</v>
      </c>
      <c r="O52" s="69">
        <v>1148</v>
      </c>
      <c r="P52" s="69">
        <v>183.2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4644</v>
      </c>
      <c r="N53" s="117">
        <f t="shared" si="15"/>
        <v>1172600</v>
      </c>
      <c r="O53" s="69">
        <v>5500</v>
      </c>
      <c r="P53" s="69">
        <v>213.2</v>
      </c>
      <c r="Q53" s="169">
        <v>863944</v>
      </c>
      <c r="R53" s="168" t="s">
        <v>4440</v>
      </c>
      <c r="S53" s="168">
        <f>S52-62</f>
        <v>98</v>
      </c>
      <c r="T53" s="192" t="s">
        <v>4516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4296</v>
      </c>
      <c r="N54" s="117">
        <f t="shared" si="15"/>
        <v>1709281.8</v>
      </c>
      <c r="O54" s="69">
        <v>5658</v>
      </c>
      <c r="P54" s="69">
        <v>302.10000000000002</v>
      </c>
      <c r="Q54" s="169">
        <v>1692313</v>
      </c>
      <c r="R54" s="168" t="s">
        <v>4519</v>
      </c>
      <c r="S54" s="199">
        <f>S53-21</f>
        <v>77</v>
      </c>
      <c r="T54" s="191" t="s">
        <v>4520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232603275</v>
      </c>
      <c r="O55" s="99">
        <v>1257315</v>
      </c>
      <c r="P55" s="99">
        <v>185</v>
      </c>
      <c r="Q55" s="169">
        <v>101153</v>
      </c>
      <c r="R55" s="168" t="s">
        <v>4522</v>
      </c>
      <c r="S55" s="199">
        <f>S54-1</f>
        <v>76</v>
      </c>
      <c r="T55" s="191" t="s">
        <v>4524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13500000</v>
      </c>
      <c r="O56" s="69">
        <v>30</v>
      </c>
      <c r="P56" s="69">
        <v>450000</v>
      </c>
      <c r="Q56" s="169">
        <v>183105</v>
      </c>
      <c r="R56" s="168" t="s">
        <v>4231</v>
      </c>
      <c r="S56" s="199">
        <f>S55-1</f>
        <v>75</v>
      </c>
      <c r="T56" s="191" t="s">
        <v>4528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9">
        <f>S56-30</f>
        <v>45</v>
      </c>
      <c r="T57" s="191" t="s">
        <v>4635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4679</v>
      </c>
      <c r="S58" s="199">
        <f>S57-10</f>
        <v>35</v>
      </c>
      <c r="T58" s="191" t="s">
        <v>4680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8" t="s">
        <v>4731</v>
      </c>
      <c r="S59" s="199">
        <f>S58-7</f>
        <v>28</v>
      </c>
      <c r="T59" s="191" t="s">
        <v>4733</v>
      </c>
      <c r="U59" s="218">
        <v>502.3</v>
      </c>
      <c r="V59" s="218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8" t="s">
        <v>4783</v>
      </c>
      <c r="S60" s="199">
        <f>S59-16</f>
        <v>12</v>
      </c>
      <c r="T60" s="191" t="s">
        <v>4791</v>
      </c>
      <c r="U60" s="218">
        <v>3095.9</v>
      </c>
      <c r="V60" s="218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-15313005</v>
      </c>
      <c r="O61" s="99">
        <v>82773</v>
      </c>
      <c r="P61" s="99">
        <f>P55</f>
        <v>185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397828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4448</v>
      </c>
      <c r="N64" s="113">
        <f>-S146</f>
        <v>-14736710.391886674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 t="s">
        <v>4756</v>
      </c>
      <c r="N65" s="113">
        <f>50*P56</f>
        <v>22500000</v>
      </c>
      <c r="P65" t="s">
        <v>25</v>
      </c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379716567.49162155</v>
      </c>
      <c r="M67" s="168"/>
      <c r="N67" s="113">
        <f>SUM(N16:N66)</f>
        <v>405516149.41649181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2292612</v>
      </c>
      <c r="Q68" s="73" t="s">
        <v>4295</v>
      </c>
      <c r="R68" s="112"/>
      <c r="S68" s="112"/>
      <c r="T68" s="112"/>
      <c r="U68" s="168" t="s">
        <v>4364</v>
      </c>
      <c r="V68" s="36" t="s">
        <v>4366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449716567.49162155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4347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4346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4373</v>
      </c>
      <c r="S73" s="5">
        <f>S72-7</f>
        <v>111</v>
      </c>
      <c r="T73" s="5" t="s">
        <v>4382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96" t="s">
        <v>4778</v>
      </c>
      <c r="Q74" s="35">
        <v>1420747</v>
      </c>
      <c r="R74" s="5" t="s">
        <v>4373</v>
      </c>
      <c r="S74" s="5">
        <f>S73</f>
        <v>111</v>
      </c>
      <c r="T74" s="5" t="s">
        <v>4384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4412</v>
      </c>
      <c r="O75" s="114"/>
      <c r="Q75" s="35">
        <v>2412371</v>
      </c>
      <c r="R75" s="5" t="s">
        <v>4375</v>
      </c>
      <c r="S75" s="5">
        <f>S74-1</f>
        <v>110</v>
      </c>
      <c r="T75" s="5" t="s">
        <v>4391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4513</v>
      </c>
      <c r="N76" s="96"/>
      <c r="Q76" s="35">
        <v>2010885</v>
      </c>
      <c r="R76" s="5" t="s">
        <v>4394</v>
      </c>
      <c r="S76" s="5">
        <f>S75-2</f>
        <v>108</v>
      </c>
      <c r="T76" s="5" t="s">
        <v>4400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>
      <c r="D77" s="1" t="s">
        <v>305</v>
      </c>
      <c r="E77" s="1">
        <v>70000</v>
      </c>
      <c r="M77" s="122" t="s">
        <v>4587</v>
      </c>
      <c r="N77" s="96"/>
      <c r="P77" t="s">
        <v>25</v>
      </c>
      <c r="Q77" s="35">
        <v>1994038</v>
      </c>
      <c r="R77" s="5" t="s">
        <v>4405</v>
      </c>
      <c r="S77" s="5">
        <f>S76-3</f>
        <v>105</v>
      </c>
      <c r="T77" s="5" t="s">
        <v>4422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 ht="45">
      <c r="D78" s="1" t="s">
        <v>321</v>
      </c>
      <c r="E78" s="1">
        <v>100000</v>
      </c>
      <c r="K78" s="217" t="s">
        <v>4807</v>
      </c>
      <c r="L78" s="22" t="s">
        <v>4772</v>
      </c>
      <c r="M78" s="211" t="s">
        <v>4746</v>
      </c>
      <c r="N78" s="96"/>
      <c r="P78" s="115"/>
      <c r="Q78" s="35">
        <v>444</v>
      </c>
      <c r="R78" s="5" t="s">
        <v>4405</v>
      </c>
      <c r="S78" s="5">
        <f>S77</f>
        <v>105</v>
      </c>
      <c r="T78" s="5" t="s">
        <v>4624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4808</v>
      </c>
      <c r="M79" s="122"/>
      <c r="N79" s="96"/>
      <c r="P79" s="115" t="s">
        <v>25</v>
      </c>
      <c r="Q79" s="35">
        <v>1971103</v>
      </c>
      <c r="R79" s="5" t="s">
        <v>4417</v>
      </c>
      <c r="S79" s="5">
        <f>S78-1</f>
        <v>104</v>
      </c>
      <c r="T79" s="5" t="s">
        <v>4418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t="s">
        <v>25</v>
      </c>
      <c r="AC79" s="115"/>
      <c r="AD79" s="115"/>
      <c r="AE79" s="115"/>
      <c r="AF79"/>
      <c r="AH79" s="20">
        <v>59</v>
      </c>
      <c r="AI79" s="117" t="s">
        <v>4348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4591</v>
      </c>
      <c r="L80" s="96"/>
      <c r="M80" s="122" t="s">
        <v>4589</v>
      </c>
      <c r="O80" t="s">
        <v>25</v>
      </c>
      <c r="P80" s="115"/>
      <c r="Q80" s="35">
        <v>1049856</v>
      </c>
      <c r="R80" s="5" t="s">
        <v>4440</v>
      </c>
      <c r="S80" s="5">
        <f>S79-6</f>
        <v>98</v>
      </c>
      <c r="T80" s="5" t="s">
        <v>4479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AC80" s="115"/>
      <c r="AD80" s="115"/>
      <c r="AE80" s="115"/>
      <c r="AF80"/>
      <c r="AH80" s="20">
        <v>60</v>
      </c>
      <c r="AI80" s="117" t="s">
        <v>4349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>
      <c r="D81" s="31" t="s">
        <v>308</v>
      </c>
      <c r="E81" s="1">
        <v>300000</v>
      </c>
      <c r="M81" s="96">
        <f>O55+O21+O31-O61</f>
        <v>1274306</v>
      </c>
      <c r="N81" s="113">
        <f>M81*P55</f>
        <v>235746610</v>
      </c>
      <c r="P81" s="115"/>
      <c r="Q81" s="35">
        <v>1783234</v>
      </c>
      <c r="R81" s="5" t="s">
        <v>4442</v>
      </c>
      <c r="S81" s="5">
        <f>S80-2</f>
        <v>96</v>
      </c>
      <c r="T81" s="5" t="s">
        <v>4443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>
        <v>23000</v>
      </c>
      <c r="AD81" s="115"/>
      <c r="AE81" s="115"/>
      <c r="AF81" s="115"/>
      <c r="AH81" s="20">
        <v>61</v>
      </c>
      <c r="AI81" s="117" t="s">
        <v>4373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 ht="30">
      <c r="D82" s="31" t="s">
        <v>309</v>
      </c>
      <c r="E82" s="1">
        <v>100000</v>
      </c>
      <c r="G82" s="48" t="s">
        <v>788</v>
      </c>
      <c r="H82" s="203" t="s">
        <v>476</v>
      </c>
      <c r="K82" s="22" t="s">
        <v>4809</v>
      </c>
      <c r="M82" t="s">
        <v>4267</v>
      </c>
      <c r="P82" s="115"/>
      <c r="Q82" s="35">
        <v>1662335</v>
      </c>
      <c r="R82" s="5" t="s">
        <v>4446</v>
      </c>
      <c r="S82" s="5">
        <f>S81-5</f>
        <v>91</v>
      </c>
      <c r="T82" s="223" t="s">
        <v>4605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4375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M83" t="s">
        <v>4593</v>
      </c>
      <c r="N83" t="s">
        <v>25</v>
      </c>
      <c r="P83" s="115"/>
      <c r="Q83" s="169">
        <v>499973</v>
      </c>
      <c r="R83" s="168" t="s">
        <v>4595</v>
      </c>
      <c r="S83" s="168">
        <f>S82-37</f>
        <v>54</v>
      </c>
      <c r="T83" s="73" t="s">
        <v>4596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4394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P84" s="115"/>
      <c r="Q84" s="169">
        <v>11869317</v>
      </c>
      <c r="R84" s="168" t="s">
        <v>4606</v>
      </c>
      <c r="S84" s="168">
        <f>S83-2</f>
        <v>52</v>
      </c>
      <c r="T84" s="168" t="s">
        <v>4607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4405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949</v>
      </c>
      <c r="N85">
        <v>6.3E-3</v>
      </c>
      <c r="P85" s="115"/>
      <c r="Q85" s="35">
        <v>2272487</v>
      </c>
      <c r="R85" s="5" t="s">
        <v>4616</v>
      </c>
      <c r="S85" s="5">
        <f>S84-3</f>
        <v>49</v>
      </c>
      <c r="T85" s="5" t="s">
        <v>4617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4432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61</v>
      </c>
      <c r="N86">
        <v>4.8999999999999998E-3</v>
      </c>
      <c r="P86" s="115"/>
      <c r="Q86" s="35">
        <v>3975257</v>
      </c>
      <c r="R86" s="5" t="s">
        <v>4622</v>
      </c>
      <c r="S86" s="5">
        <f>S85-1</f>
        <v>48</v>
      </c>
      <c r="T86" s="5" t="s">
        <v>4623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4442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4626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4447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47</v>
      </c>
      <c r="T88" s="168" t="s">
        <v>4628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4446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4631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4446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4634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4487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95" t="s">
        <v>4542</v>
      </c>
      <c r="Q91" s="169">
        <v>1210169</v>
      </c>
      <c r="R91" s="168" t="s">
        <v>4637</v>
      </c>
      <c r="S91" s="168">
        <f>S90-3</f>
        <v>42</v>
      </c>
      <c r="T91" s="168" t="s">
        <v>4638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Y91" s="115"/>
      <c r="Z91" s="115"/>
      <c r="AA91" s="115"/>
      <c r="AE91"/>
      <c r="AG91" s="96"/>
      <c r="AH91" s="20">
        <v>71</v>
      </c>
      <c r="AI91" s="117" t="s">
        <v>4493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4543</v>
      </c>
      <c r="Q92" s="35">
        <v>11264262</v>
      </c>
      <c r="R92" s="5" t="s">
        <v>4637</v>
      </c>
      <c r="S92" s="5">
        <f>S91</f>
        <v>42</v>
      </c>
      <c r="T92" s="5" t="s">
        <v>4865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4544</v>
      </c>
      <c r="Q93" s="35">
        <v>8978273</v>
      </c>
      <c r="R93" s="5" t="s">
        <v>4642</v>
      </c>
      <c r="S93" s="5">
        <f>S92-1</f>
        <v>41</v>
      </c>
      <c r="T93" s="5" t="s">
        <v>4643</v>
      </c>
      <c r="U93" s="168">
        <v>3405.9</v>
      </c>
      <c r="V93" s="99">
        <f t="shared" si="20"/>
        <v>3551.1686334246579</v>
      </c>
      <c r="W93" s="32">
        <f t="shared" ref="W93:W133" si="23">V93*(1+$W$19/100)</f>
        <v>3622.1920060931511</v>
      </c>
      <c r="X93" s="32">
        <f t="shared" ref="X93:X133" si="24">V93*(1+$X$19/100)</f>
        <v>3693.2153787616444</v>
      </c>
      <c r="Y93" s="115"/>
      <c r="Z93" s="115"/>
      <c r="AA93" s="115"/>
      <c r="AE93"/>
      <c r="AG93" s="96"/>
      <c r="AH93" s="20">
        <v>73</v>
      </c>
      <c r="AI93" s="117" t="s">
        <v>4505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4392</v>
      </c>
      <c r="Q94" s="169">
        <v>1013762</v>
      </c>
      <c r="R94" s="168" t="s">
        <v>4642</v>
      </c>
      <c r="S94" s="168">
        <f>S93</f>
        <v>41</v>
      </c>
      <c r="T94" s="168" t="s">
        <v>4645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Y94" s="115"/>
      <c r="AH94" s="20">
        <v>74</v>
      </c>
      <c r="AI94" s="117" t="s">
        <v>4511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4411</v>
      </c>
      <c r="Q95" s="169">
        <v>12953846</v>
      </c>
      <c r="R95" s="168" t="s">
        <v>4642</v>
      </c>
      <c r="S95" s="168">
        <f>S94</f>
        <v>41</v>
      </c>
      <c r="T95" s="168" t="s">
        <v>4767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AH95" s="99">
        <v>75</v>
      </c>
      <c r="AI95" s="113" t="s">
        <v>4511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M96" t="s">
        <v>4545</v>
      </c>
      <c r="Q96" s="35">
        <v>4068640</v>
      </c>
      <c r="R96" s="5" t="s">
        <v>4649</v>
      </c>
      <c r="S96" s="5">
        <f>S95-1</f>
        <v>40</v>
      </c>
      <c r="T96" s="5" t="s">
        <v>4650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K97" t="s">
        <v>25</v>
      </c>
      <c r="M97" t="s">
        <v>4396</v>
      </c>
      <c r="Q97" s="35">
        <v>12656982</v>
      </c>
      <c r="R97" s="5" t="s">
        <v>4649</v>
      </c>
      <c r="S97" s="5">
        <f>S96</f>
        <v>40</v>
      </c>
      <c r="T97" s="5" t="s">
        <v>4651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4519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4546</v>
      </c>
      <c r="Q98" s="169">
        <v>100905</v>
      </c>
      <c r="R98" s="168" t="s">
        <v>4652</v>
      </c>
      <c r="S98" s="168">
        <f>S97-1</f>
        <v>39</v>
      </c>
      <c r="T98" s="168" t="s">
        <v>4658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4532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M99" t="s">
        <v>4547</v>
      </c>
      <c r="P99" s="115"/>
      <c r="Q99" s="35">
        <v>48637534</v>
      </c>
      <c r="R99" s="5" t="s">
        <v>4652</v>
      </c>
      <c r="S99" s="5">
        <f>S98</f>
        <v>39</v>
      </c>
      <c r="T99" s="5" t="s">
        <v>4656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4530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96"/>
      <c r="L100" s="96"/>
      <c r="M100" s="96"/>
      <c r="N100" s="96"/>
      <c r="P100" s="128"/>
      <c r="Q100" s="35">
        <v>40048573</v>
      </c>
      <c r="R100" s="5" t="s">
        <v>4652</v>
      </c>
      <c r="S100" s="5">
        <f>S99</f>
        <v>39</v>
      </c>
      <c r="T100" s="5" t="s">
        <v>4657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4563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4668</v>
      </c>
      <c r="S101" s="168">
        <f>S100-1</f>
        <v>38</v>
      </c>
      <c r="T101" s="168" t="s">
        <v>4737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4566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P102" s="115"/>
      <c r="Q102" s="35">
        <v>37856769</v>
      </c>
      <c r="R102" s="5" t="s">
        <v>4668</v>
      </c>
      <c r="S102" s="5">
        <f>S101</f>
        <v>38</v>
      </c>
      <c r="T102" s="5" t="s">
        <v>4670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4566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218" t="s">
        <v>4736</v>
      </c>
      <c r="G103" s="218" t="s">
        <v>941</v>
      </c>
      <c r="H103" s="218" t="s">
        <v>4715</v>
      </c>
      <c r="I103" s="218" t="s">
        <v>4714</v>
      </c>
      <c r="J103" s="32" t="s">
        <v>4548</v>
      </c>
      <c r="K103" s="218" t="s">
        <v>4701</v>
      </c>
      <c r="L103" s="32" t="s">
        <v>4703</v>
      </c>
      <c r="M103" s="32" t="s">
        <v>4671</v>
      </c>
      <c r="N103" s="218" t="s">
        <v>4672</v>
      </c>
      <c r="Q103" s="35">
        <v>155151</v>
      </c>
      <c r="R103" s="5" t="s">
        <v>4679</v>
      </c>
      <c r="S103" s="5">
        <f>S102-3</f>
        <v>35</v>
      </c>
      <c r="T103" s="5" t="s">
        <v>4681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4571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201">
        <f t="shared" ref="F104:F109" si="27">$L$115/G104</f>
        <v>24324.324324324323</v>
      </c>
      <c r="G104" s="201">
        <f>P55</f>
        <v>185</v>
      </c>
      <c r="H104" s="201" t="s">
        <v>4872</v>
      </c>
      <c r="I104" s="201" t="s">
        <v>4871</v>
      </c>
      <c r="J104" s="219" t="s">
        <v>4243</v>
      </c>
      <c r="K104" s="201">
        <v>60</v>
      </c>
      <c r="L104" s="220">
        <f t="shared" ref="L104:L112" si="28">K104*$L$115</f>
        <v>270000000</v>
      </c>
      <c r="M104" s="220">
        <f>N21+N31+N55</f>
        <v>251059615</v>
      </c>
      <c r="N104" s="185">
        <f t="shared" ref="N104:N112" si="29">L104-M104</f>
        <v>18940385</v>
      </c>
      <c r="Q104" s="169">
        <v>109726</v>
      </c>
      <c r="R104" s="168" t="s">
        <v>4679</v>
      </c>
      <c r="S104" s="168">
        <f>S103</f>
        <v>35</v>
      </c>
      <c r="T104" s="168" t="s">
        <v>4682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4571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218">
        <f t="shared" si="27"/>
        <v>869.5988250753652</v>
      </c>
      <c r="G105" s="218">
        <f>P47</f>
        <v>5174.8</v>
      </c>
      <c r="H105" s="218" t="s">
        <v>4719</v>
      </c>
      <c r="I105" s="218" t="s">
        <v>4718</v>
      </c>
      <c r="J105" s="32" t="s">
        <v>4396</v>
      </c>
      <c r="K105" s="218">
        <v>33</v>
      </c>
      <c r="L105" s="1">
        <f t="shared" si="28"/>
        <v>148500000</v>
      </c>
      <c r="M105" s="1">
        <f>N25+N47+N28</f>
        <v>158654193.20000002</v>
      </c>
      <c r="N105" s="113">
        <f t="shared" si="29"/>
        <v>-10154193.200000018</v>
      </c>
      <c r="Q105" s="35">
        <v>8938737</v>
      </c>
      <c r="R105" s="5" t="s">
        <v>4685</v>
      </c>
      <c r="S105" s="5">
        <f>S104-1</f>
        <v>34</v>
      </c>
      <c r="T105" s="5" t="s">
        <v>4687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4572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201">
        <f t="shared" si="27"/>
        <v>1388.1177123820098</v>
      </c>
      <c r="G106" s="201">
        <f>P44</f>
        <v>3241.8</v>
      </c>
      <c r="H106" s="201" t="s">
        <v>3881</v>
      </c>
      <c r="I106" s="201" t="s">
        <v>4720</v>
      </c>
      <c r="J106" s="219" t="s">
        <v>4392</v>
      </c>
      <c r="K106" s="201">
        <v>31</v>
      </c>
      <c r="L106" s="220">
        <f t="shared" si="28"/>
        <v>139500000</v>
      </c>
      <c r="M106" s="220">
        <f>N44+N29+N22</f>
        <v>149680389.59999999</v>
      </c>
      <c r="N106" s="185">
        <f t="shared" si="29"/>
        <v>-10180389.599999994</v>
      </c>
      <c r="Q106" s="35">
        <v>2595417</v>
      </c>
      <c r="R106" s="5" t="s">
        <v>4695</v>
      </c>
      <c r="S106" s="5">
        <f>S105-1</f>
        <v>33</v>
      </c>
      <c r="T106" s="5" t="s">
        <v>4696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4584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218">
        <f t="shared" si="27"/>
        <v>8301.0514665190913</v>
      </c>
      <c r="G107" s="218">
        <f>P48</f>
        <v>542.1</v>
      </c>
      <c r="H107" s="218" t="s">
        <v>4717</v>
      </c>
      <c r="I107" s="218" t="s">
        <v>4716</v>
      </c>
      <c r="J107" s="32" t="s">
        <v>4411</v>
      </c>
      <c r="K107" s="218">
        <v>30</v>
      </c>
      <c r="L107" s="1">
        <f t="shared" si="28"/>
        <v>135000000</v>
      </c>
      <c r="M107" s="1">
        <f>N48+N23+N30</f>
        <v>136305624</v>
      </c>
      <c r="N107" s="113">
        <f t="shared" si="29"/>
        <v>-1305624</v>
      </c>
      <c r="Q107" s="169">
        <v>2505816</v>
      </c>
      <c r="R107" s="168" t="s">
        <v>4695</v>
      </c>
      <c r="S107" s="168">
        <f>S106</f>
        <v>33</v>
      </c>
      <c r="T107" s="168" t="s">
        <v>4697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4584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201">
        <f t="shared" si="27"/>
        <v>942.82302164302632</v>
      </c>
      <c r="G108" s="201">
        <f>P50</f>
        <v>4772.8999999999996</v>
      </c>
      <c r="H108" s="201" t="s">
        <v>4721</v>
      </c>
      <c r="I108" s="201" t="s">
        <v>4720</v>
      </c>
      <c r="J108" s="219" t="s">
        <v>4544</v>
      </c>
      <c r="K108" s="201">
        <v>18</v>
      </c>
      <c r="L108" s="220">
        <f t="shared" si="28"/>
        <v>81000000</v>
      </c>
      <c r="M108" s="220">
        <f>N50</f>
        <v>13903457.699999999</v>
      </c>
      <c r="N108" s="185">
        <f t="shared" si="29"/>
        <v>67096542.299999997</v>
      </c>
      <c r="Q108" s="169">
        <v>183283</v>
      </c>
      <c r="R108" s="215" t="s">
        <v>4699</v>
      </c>
      <c r="S108" s="215">
        <f>S107-1</f>
        <v>32</v>
      </c>
      <c r="T108" s="215" t="s">
        <v>4712</v>
      </c>
      <c r="U108" s="215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218">
        <f t="shared" si="27"/>
        <v>1117.9013265762408</v>
      </c>
      <c r="G109" s="218">
        <f>P49</f>
        <v>4025.4</v>
      </c>
      <c r="H109" s="218" t="s">
        <v>4722</v>
      </c>
      <c r="I109" s="218" t="s">
        <v>4723</v>
      </c>
      <c r="J109" s="32" t="s">
        <v>4545</v>
      </c>
      <c r="K109" s="218">
        <v>19</v>
      </c>
      <c r="L109" s="1">
        <f t="shared" si="28"/>
        <v>85500000</v>
      </c>
      <c r="M109" s="1">
        <f>N49+N24</f>
        <v>84537425.400000006</v>
      </c>
      <c r="N109" s="113">
        <f t="shared" si="29"/>
        <v>962574.59999999404</v>
      </c>
      <c r="Q109" s="169">
        <v>177438</v>
      </c>
      <c r="R109" s="215" t="s">
        <v>4699</v>
      </c>
      <c r="S109" s="215">
        <f t="shared" ref="S109:S112" si="30">S108</f>
        <v>32</v>
      </c>
      <c r="T109" s="215" t="s">
        <v>4708</v>
      </c>
      <c r="U109" s="215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4590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201"/>
      <c r="G110" s="201"/>
      <c r="H110" s="234">
        <v>35433</v>
      </c>
      <c r="I110" s="201" t="s">
        <v>4718</v>
      </c>
      <c r="J110" s="219" t="s">
        <v>4627</v>
      </c>
      <c r="K110" s="201">
        <v>0.75</v>
      </c>
      <c r="L110" s="220">
        <f t="shared" si="28"/>
        <v>3375000</v>
      </c>
      <c r="M110" s="220">
        <f>N51</f>
        <v>3518490</v>
      </c>
      <c r="N110" s="113">
        <f t="shared" si="29"/>
        <v>-143490</v>
      </c>
      <c r="Q110" s="35">
        <v>559461</v>
      </c>
      <c r="R110" s="5" t="s">
        <v>4699</v>
      </c>
      <c r="S110" s="5">
        <f t="shared" si="30"/>
        <v>32</v>
      </c>
      <c r="T110" s="5" t="s">
        <v>4709</v>
      </c>
      <c r="U110" s="215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4592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218"/>
      <c r="G111" s="218"/>
      <c r="H111" s="218" t="s">
        <v>3881</v>
      </c>
      <c r="I111" s="218" t="s">
        <v>4870</v>
      </c>
      <c r="J111" s="32" t="s">
        <v>4296</v>
      </c>
      <c r="K111" s="218">
        <v>0.25</v>
      </c>
      <c r="L111" s="1">
        <f t="shared" si="28"/>
        <v>1125000</v>
      </c>
      <c r="M111" s="1">
        <f>N54</f>
        <v>1709281.8</v>
      </c>
      <c r="N111" s="113">
        <f t="shared" si="29"/>
        <v>-584281.80000000005</v>
      </c>
      <c r="Q111" s="35">
        <v>9376000</v>
      </c>
      <c r="R111" s="5" t="s">
        <v>4699</v>
      </c>
      <c r="S111" s="5">
        <f>S110</f>
        <v>32</v>
      </c>
      <c r="T111" s="5" t="s">
        <v>4710</v>
      </c>
      <c r="U111" s="215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4592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201"/>
      <c r="G112" s="201"/>
      <c r="H112" s="201"/>
      <c r="I112" s="201"/>
      <c r="J112" s="219" t="s">
        <v>4684</v>
      </c>
      <c r="K112" s="201">
        <v>1</v>
      </c>
      <c r="L112" s="220">
        <f t="shared" si="28"/>
        <v>4500000</v>
      </c>
      <c r="M112" s="220">
        <f>N45+N46+N53+N52</f>
        <v>3210613.6</v>
      </c>
      <c r="N112" s="185">
        <f t="shared" si="29"/>
        <v>1289386.3999999999</v>
      </c>
      <c r="Q112" s="169">
        <v>128675</v>
      </c>
      <c r="R112" s="215" t="s">
        <v>4699</v>
      </c>
      <c r="S112" s="215">
        <f t="shared" si="30"/>
        <v>32</v>
      </c>
      <c r="T112" s="215" t="s">
        <v>4711</v>
      </c>
      <c r="U112" s="215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4602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>
      <c r="F113" s="218"/>
      <c r="G113" s="218"/>
      <c r="H113" s="218"/>
      <c r="I113" s="218"/>
      <c r="J113" s="32" t="s">
        <v>4839</v>
      </c>
      <c r="K113" s="218"/>
      <c r="L113" s="1"/>
      <c r="M113" s="1"/>
      <c r="N113" s="113">
        <v>50000000</v>
      </c>
      <c r="Q113" s="35">
        <v>13100555</v>
      </c>
      <c r="R113" s="5" t="s">
        <v>4724</v>
      </c>
      <c r="S113" s="5">
        <f>S112-1</f>
        <v>31</v>
      </c>
      <c r="T113" s="5" t="s">
        <v>4725</v>
      </c>
      <c r="U113" s="215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4602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>
      <c r="F114" s="201"/>
      <c r="G114" s="201"/>
      <c r="H114" s="201"/>
      <c r="I114" s="201"/>
      <c r="J114" s="219" t="s">
        <v>4704</v>
      </c>
      <c r="K114" s="201">
        <f>SUM(K104:K112)</f>
        <v>193</v>
      </c>
      <c r="L114" s="220"/>
      <c r="M114" s="220"/>
      <c r="N114" s="185"/>
      <c r="Q114" s="35">
        <v>622942</v>
      </c>
      <c r="R114" s="5" t="s">
        <v>4724</v>
      </c>
      <c r="S114" s="5">
        <f>S113</f>
        <v>31</v>
      </c>
      <c r="T114" s="5" t="s">
        <v>4726</v>
      </c>
      <c r="U114" s="215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4606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F115" s="218"/>
      <c r="G115" s="218"/>
      <c r="H115" s="218" t="s">
        <v>25</v>
      </c>
      <c r="I115" s="218"/>
      <c r="J115" s="32"/>
      <c r="K115" s="218">
        <v>24</v>
      </c>
      <c r="L115" s="39">
        <f>10*P56</f>
        <v>4500000</v>
      </c>
      <c r="M115" s="1">
        <f>K115*L115</f>
        <v>108000000</v>
      </c>
      <c r="N115" s="113">
        <f>SUM(N104:N113)-M115</f>
        <v>7920909.6999999881</v>
      </c>
      <c r="Q115" s="35">
        <v>1472140</v>
      </c>
      <c r="R115" s="5" t="s">
        <v>4731</v>
      </c>
      <c r="S115" s="5">
        <f>S114-3</f>
        <v>28</v>
      </c>
      <c r="T115" s="5" t="s">
        <v>4735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4606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F116" s="201"/>
      <c r="G116" s="201"/>
      <c r="H116" s="201"/>
      <c r="I116" s="201"/>
      <c r="J116" s="219"/>
      <c r="K116" s="201" t="s">
        <v>4831</v>
      </c>
      <c r="L116" s="220" t="s">
        <v>4253</v>
      </c>
      <c r="M116" s="220" t="s">
        <v>4693</v>
      </c>
      <c r="N116" s="185" t="s">
        <v>4694</v>
      </c>
      <c r="Q116" s="35">
        <v>4394591</v>
      </c>
      <c r="R116" s="5" t="s">
        <v>4738</v>
      </c>
      <c r="S116" s="5">
        <f>S115-1</f>
        <v>27</v>
      </c>
      <c r="T116" s="5" t="s">
        <v>4739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4616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8"/>
      <c r="G117" s="218"/>
      <c r="H117" s="218"/>
      <c r="I117" s="218"/>
      <c r="J117" s="32" t="s">
        <v>4702</v>
      </c>
      <c r="K117" s="218"/>
      <c r="L117" s="1"/>
      <c r="M117" s="1"/>
      <c r="N117" s="113"/>
      <c r="P117" s="114"/>
      <c r="Q117" s="117">
        <v>4085110</v>
      </c>
      <c r="R117" s="19" t="s">
        <v>4741</v>
      </c>
      <c r="S117" s="19">
        <f>S116-1</f>
        <v>26</v>
      </c>
      <c r="T117" s="19" t="s">
        <v>4742</v>
      </c>
      <c r="U117" s="218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4622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4743</v>
      </c>
      <c r="S118" s="19">
        <f>S117</f>
        <v>26</v>
      </c>
      <c r="T118" s="19" t="s">
        <v>4744</v>
      </c>
      <c r="U118" s="218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4622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Q119" s="117">
        <v>8398607</v>
      </c>
      <c r="R119" s="19" t="s">
        <v>4755</v>
      </c>
      <c r="S119" s="19">
        <f>S118-8</f>
        <v>18</v>
      </c>
      <c r="T119" s="19" t="s">
        <v>4757</v>
      </c>
      <c r="U119" s="218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4632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8"/>
      <c r="G120" s="218"/>
      <c r="H120" s="218"/>
      <c r="I120" s="218"/>
      <c r="J120" s="218" t="s">
        <v>4833</v>
      </c>
      <c r="K120" s="168" t="s">
        <v>4548</v>
      </c>
      <c r="L120" s="168" t="s">
        <v>4549</v>
      </c>
      <c r="M120" s="168" t="s">
        <v>4438</v>
      </c>
      <c r="N120" s="56" t="s">
        <v>190</v>
      </c>
      <c r="Q120" s="117">
        <v>18565999</v>
      </c>
      <c r="R120" s="19" t="s">
        <v>4758</v>
      </c>
      <c r="S120" s="19">
        <f>S119-1</f>
        <v>17</v>
      </c>
      <c r="T120" s="19" t="s">
        <v>4766</v>
      </c>
      <c r="U120" s="218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8" t="s">
        <v>4364</v>
      </c>
      <c r="G121" s="218" t="s">
        <v>941</v>
      </c>
      <c r="H121" s="218" t="s">
        <v>4548</v>
      </c>
      <c r="I121" s="218" t="s">
        <v>937</v>
      </c>
      <c r="J121" s="218" t="s">
        <v>4834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4769</v>
      </c>
      <c r="S121" s="19">
        <f>S120-3</f>
        <v>14</v>
      </c>
      <c r="T121" s="19" t="s">
        <v>4874</v>
      </c>
      <c r="U121" s="218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4637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8">
        <v>3307.5</v>
      </c>
      <c r="G122" s="218">
        <f>P44</f>
        <v>3241.8</v>
      </c>
      <c r="H122" s="218" t="s">
        <v>4392</v>
      </c>
      <c r="I122" s="218">
        <v>3761</v>
      </c>
      <c r="J122" s="1">
        <f>I122*P44</f>
        <v>12192409.800000001</v>
      </c>
      <c r="K122" s="5" t="s">
        <v>4543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4783</v>
      </c>
      <c r="S122" s="19">
        <f>S121-2</f>
        <v>12</v>
      </c>
      <c r="T122" s="19" t="s">
        <v>4788</v>
      </c>
      <c r="U122" s="218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4637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4639</v>
      </c>
      <c r="AQ122" t="s">
        <v>25</v>
      </c>
    </row>
    <row r="123" spans="6:43">
      <c r="F123" s="218">
        <v>5249.5</v>
      </c>
      <c r="G123" s="218">
        <f>P47</f>
        <v>5174.8</v>
      </c>
      <c r="H123" s="218" t="s">
        <v>4396</v>
      </c>
      <c r="I123" s="218">
        <v>7163</v>
      </c>
      <c r="J123" s="1">
        <f>I123*P47</f>
        <v>37067092.399999999</v>
      </c>
      <c r="K123" s="5" t="s">
        <v>4544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4783</v>
      </c>
      <c r="S123" s="19">
        <f>S122</f>
        <v>12</v>
      </c>
      <c r="T123" s="19" t="s">
        <v>4789</v>
      </c>
      <c r="U123" s="218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4642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4653</v>
      </c>
    </row>
    <row r="124" spans="6:43">
      <c r="F124" s="218">
        <v>519.79999999999995</v>
      </c>
      <c r="G124" s="218">
        <f>P48</f>
        <v>542.1</v>
      </c>
      <c r="H124" s="218" t="s">
        <v>4411</v>
      </c>
      <c r="I124" s="218">
        <v>0</v>
      </c>
      <c r="J124" s="1">
        <f>I124*P48</f>
        <v>0</v>
      </c>
      <c r="K124" s="19" t="s">
        <v>4392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4783</v>
      </c>
      <c r="S124" s="19">
        <f>S123</f>
        <v>12</v>
      </c>
      <c r="T124" s="19" t="s">
        <v>4790</v>
      </c>
      <c r="U124" s="218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4642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4654</v>
      </c>
    </row>
    <row r="125" spans="6:43">
      <c r="F125" s="218">
        <v>4051</v>
      </c>
      <c r="G125" s="218">
        <f>P49</f>
        <v>4025.4</v>
      </c>
      <c r="H125" s="218" t="s">
        <v>4545</v>
      </c>
      <c r="I125" s="218">
        <v>130</v>
      </c>
      <c r="J125" s="1">
        <f>I125*P49</f>
        <v>523302</v>
      </c>
      <c r="K125" s="5" t="s">
        <v>4411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4793</v>
      </c>
      <c r="S125" s="19">
        <f>S124-1</f>
        <v>11</v>
      </c>
      <c r="T125" s="19" t="s">
        <v>4794</v>
      </c>
      <c r="U125" s="218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4559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4655</v>
      </c>
      <c r="AP125" t="s">
        <v>25</v>
      </c>
    </row>
    <row r="126" spans="6:43">
      <c r="F126" s="218"/>
      <c r="G126" s="218"/>
      <c r="H126" s="218"/>
      <c r="I126" s="218"/>
      <c r="J126" s="1">
        <f>SUM(J122:J125)</f>
        <v>49782804.200000003</v>
      </c>
      <c r="K126" s="5" t="s">
        <v>4545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4832</v>
      </c>
      <c r="S126" s="19">
        <f>S125-7</f>
        <v>4</v>
      </c>
      <c r="T126" s="19" t="s">
        <v>4836</v>
      </c>
      <c r="U126" s="218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4562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F127" s="218"/>
      <c r="G127" s="218"/>
      <c r="H127" s="218"/>
      <c r="I127" s="218"/>
      <c r="J127" s="218" t="s">
        <v>6</v>
      </c>
      <c r="K127" s="19" t="s">
        <v>4396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4832</v>
      </c>
      <c r="S127" s="19">
        <f>S126</f>
        <v>4</v>
      </c>
      <c r="T127" s="19" t="s">
        <v>4837</v>
      </c>
      <c r="U127" s="218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90" t="s">
        <v>4652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4663</v>
      </c>
      <c r="AQ127" t="s">
        <v>25</v>
      </c>
    </row>
    <row r="128" spans="6:43">
      <c r="K128" s="5" t="s">
        <v>4547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4832</v>
      </c>
      <c r="S128" s="19">
        <f>S127</f>
        <v>4</v>
      </c>
      <c r="T128" s="19" t="s">
        <v>4838</v>
      </c>
      <c r="U128" s="218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4652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4664</v>
      </c>
    </row>
    <row r="129" spans="11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13041741</v>
      </c>
      <c r="R129" s="19" t="s">
        <v>4844</v>
      </c>
      <c r="S129" s="19">
        <f>S128-1</f>
        <v>3</v>
      </c>
      <c r="T129" s="19" t="s">
        <v>4846</v>
      </c>
      <c r="U129" s="218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4679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4683</v>
      </c>
    </row>
    <row r="130" spans="11:44">
      <c r="K130" s="208" t="s">
        <v>4579</v>
      </c>
      <c r="Q130" s="117">
        <v>1723465</v>
      </c>
      <c r="R130" s="19" t="s">
        <v>4861</v>
      </c>
      <c r="S130" s="19">
        <f>S129-3</f>
        <v>0</v>
      </c>
      <c r="T130" s="19" t="s">
        <v>4864</v>
      </c>
      <c r="U130" s="218">
        <v>303.2</v>
      </c>
      <c r="V130" s="99">
        <f t="shared" si="26"/>
        <v>306.59584000000001</v>
      </c>
      <c r="W130" s="32">
        <f t="shared" si="23"/>
        <v>312.72775680000001</v>
      </c>
      <c r="X130" s="32">
        <f t="shared" si="24"/>
        <v>318.85967360000001</v>
      </c>
      <c r="AH130" s="99">
        <v>110</v>
      </c>
      <c r="AI130" s="113" t="s">
        <v>4685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4686</v>
      </c>
      <c r="AQ130" t="s">
        <v>25</v>
      </c>
    </row>
    <row r="131" spans="11:44">
      <c r="K131" s="208" t="s">
        <v>4580</v>
      </c>
      <c r="P131" s="114"/>
      <c r="Q131" s="117">
        <v>2700564</v>
      </c>
      <c r="R131" s="19" t="s">
        <v>4868</v>
      </c>
      <c r="S131" s="19">
        <f>S130-2</f>
        <v>-2</v>
      </c>
      <c r="T131" s="19" t="s">
        <v>4873</v>
      </c>
      <c r="U131" s="218">
        <v>5160</v>
      </c>
      <c r="V131" s="99">
        <f t="shared" si="26"/>
        <v>5209.8752876712333</v>
      </c>
      <c r="W131" s="32">
        <f t="shared" si="23"/>
        <v>5314.0727934246579</v>
      </c>
      <c r="X131" s="32">
        <f t="shared" si="24"/>
        <v>5418.2702991780825</v>
      </c>
      <c r="AH131" s="20">
        <v>111</v>
      </c>
      <c r="AI131" s="117" t="s">
        <v>4695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K132" s="208" t="s">
        <v>4581</v>
      </c>
      <c r="Q132" s="169"/>
      <c r="R132" s="168"/>
      <c r="S132" s="168"/>
      <c r="T132" s="168"/>
      <c r="U132" s="168"/>
      <c r="V132" s="99"/>
      <c r="W132" s="32"/>
      <c r="X132" s="32"/>
      <c r="AH132" s="89">
        <v>112</v>
      </c>
      <c r="AI132" s="90" t="s">
        <v>4695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4700</v>
      </c>
    </row>
    <row r="133" spans="11:44">
      <c r="Q133" s="169"/>
      <c r="R133" s="168"/>
      <c r="S133" s="168"/>
      <c r="T133" s="168"/>
      <c r="U133" s="168"/>
      <c r="V133" s="99">
        <f>U133*(1+$N$87+$Q$15*S133/36500)</f>
        <v>0</v>
      </c>
      <c r="W133" s="32">
        <f t="shared" si="23"/>
        <v>0</v>
      </c>
      <c r="X133" s="32">
        <f t="shared" si="24"/>
        <v>0</v>
      </c>
      <c r="AH133" s="20">
        <v>113</v>
      </c>
      <c r="AI133" s="117" t="s">
        <v>4699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3">
        <f>SUM(N44:N56)-SUM(Q70:Q133)</f>
        <v>-4393053</v>
      </c>
      <c r="R134" s="112"/>
      <c r="S134" s="112"/>
      <c r="T134" s="112"/>
      <c r="U134" s="168"/>
      <c r="V134" s="99" t="s">
        <v>25</v>
      </c>
      <c r="W134" s="32"/>
      <c r="X134" s="32"/>
      <c r="AH134" s="89">
        <v>114</v>
      </c>
      <c r="AI134" s="90" t="s">
        <v>4699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4700</v>
      </c>
    </row>
    <row r="135" spans="11:44">
      <c r="Q135" s="26"/>
      <c r="R135" s="182"/>
      <c r="S135" s="182"/>
      <c r="T135" t="s">
        <v>25</v>
      </c>
      <c r="U135" s="96" t="s">
        <v>25</v>
      </c>
      <c r="V135" s="96" t="s">
        <v>25</v>
      </c>
      <c r="W135" s="96" t="s">
        <v>25</v>
      </c>
      <c r="AH135" s="20">
        <v>115</v>
      </c>
      <c r="AI135" s="117" t="s">
        <v>4699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4713</v>
      </c>
      <c r="AQ135" t="s">
        <v>25</v>
      </c>
    </row>
    <row r="136" spans="11:44">
      <c r="R136" s="32" t="s">
        <v>4583</v>
      </c>
      <c r="S136" s="32" t="s">
        <v>950</v>
      </c>
      <c r="T136" t="s">
        <v>25</v>
      </c>
      <c r="U136" s="96" t="s">
        <v>25</v>
      </c>
      <c r="V136" s="96" t="s">
        <v>25</v>
      </c>
      <c r="W136" s="96" t="s">
        <v>25</v>
      </c>
      <c r="X136" s="122" t="s">
        <v>25</v>
      </c>
      <c r="AH136" s="89">
        <v>116</v>
      </c>
      <c r="AI136" s="90" t="s">
        <v>4738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4740</v>
      </c>
    </row>
    <row r="137" spans="11:44">
      <c r="R137" s="32">
        <v>17060</v>
      </c>
      <c r="S137" s="169">
        <v>8381048</v>
      </c>
      <c r="U137" s="96" t="s">
        <v>25</v>
      </c>
      <c r="V137" s="122" t="s">
        <v>25</v>
      </c>
      <c r="X137" t="s">
        <v>25</v>
      </c>
      <c r="Y137" t="s">
        <v>25</v>
      </c>
      <c r="Z137" t="s">
        <v>25</v>
      </c>
      <c r="AH137" s="20">
        <v>117</v>
      </c>
      <c r="AI137" s="117" t="s">
        <v>4745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t="s">
        <v>25</v>
      </c>
      <c r="R138" s="32">
        <v>5000</v>
      </c>
      <c r="S138" s="1">
        <f>S137*R138/R137</f>
        <v>2456344.6658851113</v>
      </c>
      <c r="U138" s="96" t="s">
        <v>25</v>
      </c>
      <c r="V138" s="122" t="s">
        <v>25</v>
      </c>
      <c r="W138" s="96" t="s">
        <v>25</v>
      </c>
      <c r="X138" t="s">
        <v>25</v>
      </c>
      <c r="Y138" t="s">
        <v>25</v>
      </c>
      <c r="AH138" s="121">
        <v>118</v>
      </c>
      <c r="AI138" s="79" t="s">
        <v>4753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4683</v>
      </c>
    </row>
    <row r="139" spans="11:44">
      <c r="R139" s="32">
        <f>R137-R138</f>
        <v>12060</v>
      </c>
      <c r="S139" s="1">
        <f>R139*S137/R137</f>
        <v>5924703.3341148887</v>
      </c>
      <c r="V139" s="96"/>
      <c r="W139"/>
      <c r="AH139" s="121">
        <v>119</v>
      </c>
      <c r="AI139" s="79" t="s">
        <v>4755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4759</v>
      </c>
    </row>
    <row r="140" spans="11:44">
      <c r="V140" s="96"/>
      <c r="W140"/>
      <c r="AH140" s="121">
        <v>120</v>
      </c>
      <c r="AI140" s="79" t="s">
        <v>4758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4700</v>
      </c>
    </row>
    <row r="141" spans="11:44">
      <c r="Q141" s="99" t="s">
        <v>4465</v>
      </c>
      <c r="R141" s="99" t="s">
        <v>4467</v>
      </c>
      <c r="S141" s="99"/>
      <c r="T141" s="99" t="s">
        <v>4468</v>
      </c>
      <c r="U141" s="99"/>
      <c r="V141" s="99"/>
      <c r="W141" s="99" t="s">
        <v>4586</v>
      </c>
      <c r="AH141" s="161">
        <v>121</v>
      </c>
      <c r="AI141" s="233" t="s">
        <v>4832</v>
      </c>
      <c r="AJ141" s="233">
        <v>50000000</v>
      </c>
      <c r="AK141" s="161">
        <v>1</v>
      </c>
      <c r="AL141" s="161">
        <f t="shared" si="34"/>
        <v>1</v>
      </c>
      <c r="AM141" s="233">
        <f t="shared" si="33"/>
        <v>50000000</v>
      </c>
      <c r="AN141" s="161" t="s">
        <v>4835</v>
      </c>
      <c r="AP141" t="s">
        <v>25</v>
      </c>
      <c r="AR141" t="s">
        <v>25</v>
      </c>
    </row>
    <row r="142" spans="11:44">
      <c r="Q142" s="113">
        <v>1000</v>
      </c>
      <c r="R142" s="99">
        <v>0.25</v>
      </c>
      <c r="S142" s="99"/>
      <c r="T142" s="99">
        <f>1-R142</f>
        <v>0.75</v>
      </c>
      <c r="U142" s="99"/>
      <c r="V142" s="99"/>
      <c r="W142" s="99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Q143" s="168" t="s">
        <v>4452</v>
      </c>
      <c r="R143" s="168" t="s">
        <v>4470</v>
      </c>
      <c r="S143" s="168" t="s">
        <v>4472</v>
      </c>
      <c r="T143" s="168" t="s">
        <v>180</v>
      </c>
      <c r="U143" s="168" t="s">
        <v>4466</v>
      </c>
      <c r="V143" s="56" t="s">
        <v>4469</v>
      </c>
      <c r="W143" s="99"/>
      <c r="X143" s="115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168" t="s">
        <v>751</v>
      </c>
      <c r="R144" s="56">
        <v>1673381</v>
      </c>
      <c r="S144" s="113">
        <f>R144*$T$206</f>
        <v>426424540.41649169</v>
      </c>
      <c r="T144" s="168" t="s">
        <v>4464</v>
      </c>
      <c r="U144" s="168">
        <f>$Q$142*$T$142*S144/$R$168</f>
        <v>391.34309802693861</v>
      </c>
      <c r="V144" s="95">
        <f>S144+U144</f>
        <v>426424931.75958973</v>
      </c>
      <c r="W144" s="99">
        <f>R144*100/U203</f>
        <v>52.179079736925146</v>
      </c>
      <c r="X144" s="222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68" t="s">
        <v>4454</v>
      </c>
      <c r="R145" s="56">
        <v>1475785</v>
      </c>
      <c r="S145" s="113">
        <f>R145*$T$206</f>
        <v>376071522.49162155</v>
      </c>
      <c r="T145" s="168" t="s">
        <v>4464</v>
      </c>
      <c r="U145" s="168">
        <f>$Q$142*$T$142*S145/$R$168+Q142*R142</f>
        <v>595.13256330846684</v>
      </c>
      <c r="V145" s="95">
        <f>S145+U145</f>
        <v>376072117.62418485</v>
      </c>
      <c r="W145" s="99">
        <f>R145*100/U203</f>
        <v>46.017675107795583</v>
      </c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68" t="s">
        <v>4453</v>
      </c>
      <c r="R146" s="56">
        <v>57830</v>
      </c>
      <c r="S146" s="113">
        <f>R146*$T$206</f>
        <v>14736710.391886674</v>
      </c>
      <c r="T146" s="168" t="s">
        <v>4464</v>
      </c>
      <c r="U146" s="168">
        <f>$Q$142*$T$142*S146/$R$168</f>
        <v>13.524338664594529</v>
      </c>
      <c r="V146" s="95">
        <f>S146+U146</f>
        <v>14736723.916225338</v>
      </c>
      <c r="W146" s="99">
        <f>R146*100/U203</f>
        <v>1.8032451552792708</v>
      </c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/>
      <c r="R147" s="56"/>
      <c r="S147" s="168"/>
      <c r="T147" s="168"/>
      <c r="U147" s="168"/>
      <c r="V147" s="99"/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2561+R145</f>
        <v>1478346</v>
      </c>
      <c r="Q148" s="168"/>
      <c r="R148" s="56"/>
      <c r="S148" s="168"/>
      <c r="T148" s="168"/>
      <c r="U148" s="168"/>
      <c r="V148" s="168"/>
      <c r="W148" s="99"/>
      <c r="X148" s="96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P149" s="114"/>
      <c r="Q149" s="168"/>
      <c r="R149" s="168"/>
      <c r="S149" s="168"/>
      <c r="T149" s="168"/>
      <c r="U149" s="168"/>
      <c r="V149" s="168"/>
      <c r="W149" s="99"/>
      <c r="X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/>
      <c r="R150" s="99"/>
      <c r="S150" s="99"/>
      <c r="T150" s="99" t="s">
        <v>25</v>
      </c>
      <c r="U150" s="99"/>
      <c r="V150" s="99"/>
      <c r="W150" s="99"/>
      <c r="X150" s="96"/>
      <c r="AH150" s="99"/>
      <c r="AI150" s="99"/>
      <c r="AJ150" s="99"/>
      <c r="AK150" s="99"/>
      <c r="AL150" s="99"/>
      <c r="AM150" s="99"/>
      <c r="AN150" s="99"/>
    </row>
    <row r="151" spans="16:44">
      <c r="Q151" s="99"/>
      <c r="R151" s="99"/>
      <c r="S151" s="99"/>
      <c r="T151" s="99"/>
      <c r="U151" s="99"/>
      <c r="V151" s="99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9"/>
      <c r="R152" s="99"/>
      <c r="S152" s="99"/>
      <c r="T152" s="99"/>
      <c r="U152" s="99"/>
      <c r="V152" s="99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96"/>
      <c r="R153" s="96"/>
      <c r="S153" s="96"/>
      <c r="T153" s="96"/>
      <c r="V153" s="96"/>
      <c r="X153" s="115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P154" s="114"/>
      <c r="Q154" s="96"/>
      <c r="R154" s="96"/>
      <c r="S154" s="96"/>
      <c r="T154" s="96"/>
      <c r="V154" s="96"/>
      <c r="AI154" t="s">
        <v>4064</v>
      </c>
      <c r="AJ154" s="114">
        <f>SUM(N42:N56)</f>
        <v>566265391</v>
      </c>
    </row>
    <row r="155" spans="16:44">
      <c r="Q155" s="96"/>
      <c r="R155" s="96"/>
      <c r="S155" s="96"/>
      <c r="T155" s="96" t="s">
        <v>25</v>
      </c>
      <c r="V155" s="96"/>
      <c r="AI155" t="s">
        <v>4136</v>
      </c>
      <c r="AJ155" s="114">
        <f>AJ154-AJ148</f>
        <v>26939305</v>
      </c>
      <c r="AM155" t="s">
        <v>25</v>
      </c>
    </row>
    <row r="156" spans="16:44">
      <c r="Q156" s="96"/>
      <c r="R156" s="96"/>
      <c r="S156" s="96"/>
      <c r="T156" s="96"/>
      <c r="V156" s="96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9" t="s">
        <v>180</v>
      </c>
      <c r="U157" s="99" t="s">
        <v>4488</v>
      </c>
      <c r="V157" s="99" t="s">
        <v>4489</v>
      </c>
      <c r="W157" s="99" t="s">
        <v>4499</v>
      </c>
      <c r="X157" s="99" t="s">
        <v>8</v>
      </c>
      <c r="AI157" t="s">
        <v>4065</v>
      </c>
      <c r="AJ157" s="114">
        <f>AJ154-AJ153</f>
        <v>-5426694.9967741966</v>
      </c>
      <c r="AN157" t="s">
        <v>25</v>
      </c>
    </row>
    <row r="158" spans="16:44">
      <c r="P158" s="114"/>
      <c r="Q158" s="36" t="s">
        <v>4582</v>
      </c>
      <c r="R158" s="95">
        <f>SUM(N44:N56)</f>
        <v>566258829</v>
      </c>
      <c r="T158" s="113" t="s">
        <v>4464</v>
      </c>
      <c r="U158" s="56">
        <v>1000000</v>
      </c>
      <c r="V158" s="113">
        <v>239.024</v>
      </c>
      <c r="W158" s="113">
        <f t="shared" ref="W158:W201" si="35">U158*V158</f>
        <v>239024000</v>
      </c>
      <c r="X158" s="99"/>
      <c r="AM158" t="s">
        <v>25</v>
      </c>
    </row>
    <row r="159" spans="16:44">
      <c r="Q159" s="99" t="s">
        <v>4455</v>
      </c>
      <c r="R159" s="95">
        <f>SUM(N21:N25)</f>
        <v>245644812.29999998</v>
      </c>
      <c r="T159" s="168" t="s">
        <v>4446</v>
      </c>
      <c r="U159" s="56">
        <v>5904</v>
      </c>
      <c r="V159" s="113">
        <v>237.148</v>
      </c>
      <c r="W159" s="113">
        <f t="shared" si="35"/>
        <v>1400121.7919999999</v>
      </c>
      <c r="X159" s="99" t="s">
        <v>751</v>
      </c>
      <c r="AJ159" t="s">
        <v>25</v>
      </c>
    </row>
    <row r="160" spans="16:44">
      <c r="Q160" s="99" t="s">
        <v>4456</v>
      </c>
      <c r="R160" s="95">
        <f>SUM(N28:N31)</f>
        <v>4175449</v>
      </c>
      <c r="T160" s="168" t="s">
        <v>4232</v>
      </c>
      <c r="U160" s="168">
        <v>1000</v>
      </c>
      <c r="V160" s="113">
        <v>247.393</v>
      </c>
      <c r="W160" s="113">
        <f t="shared" si="35"/>
        <v>247393</v>
      </c>
      <c r="X160" s="99" t="s">
        <v>751</v>
      </c>
    </row>
    <row r="161" spans="16:40">
      <c r="Q161" s="99" t="s">
        <v>4457</v>
      </c>
      <c r="R161" s="95">
        <f>N42</f>
        <v>6562</v>
      </c>
      <c r="T161" s="168" t="s">
        <v>4501</v>
      </c>
      <c r="U161" s="168">
        <v>8071</v>
      </c>
      <c r="V161" s="113">
        <v>247.797</v>
      </c>
      <c r="W161" s="113">
        <f t="shared" si="35"/>
        <v>1999969.5870000001</v>
      </c>
      <c r="X161" s="99" t="s">
        <v>4453</v>
      </c>
    </row>
    <row r="162" spans="16:40">
      <c r="Q162" s="99" t="s">
        <v>4458</v>
      </c>
      <c r="R162" s="95">
        <f>N20</f>
        <v>357</v>
      </c>
      <c r="T162" s="168" t="s">
        <v>4501</v>
      </c>
      <c r="U162" s="168">
        <v>53672</v>
      </c>
      <c r="V162" s="113">
        <v>247.797</v>
      </c>
      <c r="W162" s="113">
        <f t="shared" si="35"/>
        <v>13299760.584000001</v>
      </c>
      <c r="X162" s="99" t="s">
        <v>452</v>
      </c>
    </row>
    <row r="163" spans="16:40">
      <c r="P163" s="114"/>
      <c r="Q163" s="99" t="s">
        <v>4459</v>
      </c>
      <c r="R163" s="95">
        <f>N27</f>
        <v>2881</v>
      </c>
      <c r="T163" s="168" t="s">
        <v>4511</v>
      </c>
      <c r="U163" s="168">
        <v>4099</v>
      </c>
      <c r="V163" s="113">
        <v>243.93</v>
      </c>
      <c r="W163" s="113">
        <f t="shared" si="35"/>
        <v>999869.07000000007</v>
      </c>
      <c r="X163" s="99" t="s">
        <v>4453</v>
      </c>
    </row>
    <row r="164" spans="16:40">
      <c r="P164" s="114"/>
      <c r="Q164" s="99" t="s">
        <v>4471</v>
      </c>
      <c r="R164" s="95">
        <v>659919</v>
      </c>
      <c r="T164" s="168" t="s">
        <v>4511</v>
      </c>
      <c r="U164" s="168">
        <v>9301</v>
      </c>
      <c r="V164" s="113">
        <v>243.93</v>
      </c>
      <c r="W164" s="113">
        <f t="shared" si="35"/>
        <v>2268792.9300000002</v>
      </c>
      <c r="X164" s="99" t="s">
        <v>452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4705</v>
      </c>
      <c r="R165" s="95">
        <v>0</v>
      </c>
      <c r="T165" s="168" t="s">
        <v>4518</v>
      </c>
      <c r="U165" s="168">
        <v>8334</v>
      </c>
      <c r="V165" s="113">
        <v>239.97</v>
      </c>
      <c r="W165" s="113">
        <f t="shared" si="35"/>
        <v>1999909.98</v>
      </c>
      <c r="X165" s="99" t="s">
        <v>4453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4754</v>
      </c>
      <c r="R166" s="95">
        <v>500000</v>
      </c>
      <c r="T166" s="168" t="s">
        <v>4231</v>
      </c>
      <c r="U166" s="168">
        <v>29041</v>
      </c>
      <c r="V166" s="113">
        <v>233.45</v>
      </c>
      <c r="W166" s="113">
        <f t="shared" si="35"/>
        <v>6779621.4499999993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4734</v>
      </c>
      <c r="R167" s="95">
        <v>-16036</v>
      </c>
      <c r="S167" s="115"/>
      <c r="T167" s="168" t="s">
        <v>994</v>
      </c>
      <c r="U167" s="168">
        <v>12337</v>
      </c>
      <c r="V167" s="113">
        <v>243.16300000000001</v>
      </c>
      <c r="W167" s="113">
        <f t="shared" si="35"/>
        <v>2999901.9310000003</v>
      </c>
      <c r="X167" s="99" t="s">
        <v>4453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P168" s="114"/>
      <c r="Q168" s="99" t="s">
        <v>4463</v>
      </c>
      <c r="R168" s="95">
        <f>SUM(R158:R167)</f>
        <v>817232773.29999995</v>
      </c>
      <c r="S168" s="122"/>
      <c r="T168" s="168" t="s">
        <v>4606</v>
      </c>
      <c r="U168" s="168">
        <v>-16118</v>
      </c>
      <c r="V168" s="113">
        <v>248.17</v>
      </c>
      <c r="W168" s="113">
        <f t="shared" si="35"/>
        <v>-4000004.0599999996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6"/>
      <c r="S169" s="115"/>
      <c r="T169" s="168" t="s">
        <v>4637</v>
      </c>
      <c r="U169" s="168">
        <v>101681</v>
      </c>
      <c r="V169" s="113">
        <v>246.5711</v>
      </c>
      <c r="W169" s="113">
        <f t="shared" si="35"/>
        <v>25071596.019099999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6"/>
      <c r="R170" s="183"/>
      <c r="S170" s="115"/>
      <c r="T170" s="168" t="s">
        <v>4642</v>
      </c>
      <c r="U170" s="168">
        <v>66606</v>
      </c>
      <c r="V170" s="113">
        <v>251.131</v>
      </c>
      <c r="W170" s="113">
        <f t="shared" si="35"/>
        <v>16726831.386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6"/>
      <c r="R171" s="183"/>
      <c r="T171" s="168" t="s">
        <v>4649</v>
      </c>
      <c r="U171" s="168">
        <v>172025</v>
      </c>
      <c r="V171" s="113">
        <v>245.52809999999999</v>
      </c>
      <c r="W171" s="113">
        <f t="shared" si="35"/>
        <v>42236971.402499996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R172" s="115"/>
      <c r="T172" s="168" t="s">
        <v>4649</v>
      </c>
      <c r="U172" s="168">
        <v>189227</v>
      </c>
      <c r="V172" s="113">
        <v>245.52809999999999</v>
      </c>
      <c r="W172" s="113">
        <f t="shared" si="35"/>
        <v>46460545.778700002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T173" s="168" t="s">
        <v>4652</v>
      </c>
      <c r="U173" s="168">
        <v>79720</v>
      </c>
      <c r="V173" s="113">
        <v>246.6568</v>
      </c>
      <c r="W173" s="113">
        <f t="shared" si="35"/>
        <v>19663480.096000001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4453</v>
      </c>
      <c r="R174" s="99"/>
      <c r="T174" s="168" t="s">
        <v>4652</v>
      </c>
      <c r="U174" s="168">
        <v>79720</v>
      </c>
      <c r="V174" s="113">
        <v>246.6568</v>
      </c>
      <c r="W174" s="113">
        <f t="shared" si="35"/>
        <v>19663480.096000001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36" t="s">
        <v>180</v>
      </c>
      <c r="R175" s="99" t="s">
        <v>267</v>
      </c>
      <c r="T175" s="168" t="s">
        <v>4679</v>
      </c>
      <c r="U175" s="168">
        <v>17769</v>
      </c>
      <c r="V175" s="113">
        <v>246.17877999999999</v>
      </c>
      <c r="W175" s="113">
        <f t="shared" si="35"/>
        <v>4374350.7418200001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9" t="s">
        <v>4446</v>
      </c>
      <c r="R176" s="95">
        <v>3000000</v>
      </c>
      <c r="T176" s="168" t="s">
        <v>4679</v>
      </c>
      <c r="U176" s="168">
        <v>17769</v>
      </c>
      <c r="V176" s="113">
        <v>246.17877999999999</v>
      </c>
      <c r="W176" s="113">
        <f t="shared" si="35"/>
        <v>4374350.7418200001</v>
      </c>
      <c r="X176" s="99" t="s">
        <v>452</v>
      </c>
      <c r="AH176" s="99">
        <v>12</v>
      </c>
      <c r="AI176" s="99" t="s">
        <v>4348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4501</v>
      </c>
      <c r="R177" s="95">
        <v>2000000</v>
      </c>
      <c r="T177" s="168" t="s">
        <v>4685</v>
      </c>
      <c r="U177" s="168">
        <v>12438</v>
      </c>
      <c r="V177" s="113">
        <v>241.20465999999999</v>
      </c>
      <c r="W177" s="113">
        <f t="shared" si="35"/>
        <v>3000103.5610799999</v>
      </c>
      <c r="X177" s="99" t="s">
        <v>4453</v>
      </c>
      <c r="AH177" s="99">
        <v>13</v>
      </c>
      <c r="AI177" s="99" t="s">
        <v>4349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9" t="s">
        <v>4511</v>
      </c>
      <c r="R178" s="95">
        <v>1000000</v>
      </c>
      <c r="T178" s="168" t="s">
        <v>4695</v>
      </c>
      <c r="U178" s="168">
        <v>27363</v>
      </c>
      <c r="V178" s="113">
        <v>239.3886</v>
      </c>
      <c r="W178" s="113">
        <f t="shared" si="35"/>
        <v>6550390.2617999995</v>
      </c>
      <c r="X178" s="99" t="s">
        <v>751</v>
      </c>
      <c r="AH178" s="99">
        <v>14</v>
      </c>
      <c r="AI178" s="99" t="s">
        <v>4373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4518</v>
      </c>
      <c r="R179" s="95">
        <v>2000000</v>
      </c>
      <c r="T179" s="168" t="s">
        <v>4695</v>
      </c>
      <c r="U179" s="168">
        <v>27363</v>
      </c>
      <c r="V179" s="113">
        <v>239.3886</v>
      </c>
      <c r="W179" s="113">
        <f t="shared" si="35"/>
        <v>6550390.2617999995</v>
      </c>
      <c r="X179" s="99" t="s">
        <v>452</v>
      </c>
      <c r="AH179" s="99">
        <v>15</v>
      </c>
      <c r="AI179" s="99" t="s">
        <v>4405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994</v>
      </c>
      <c r="R180" s="95">
        <v>3000000</v>
      </c>
      <c r="T180" s="215" t="s">
        <v>4699</v>
      </c>
      <c r="U180" s="215">
        <v>27437</v>
      </c>
      <c r="V180" s="113">
        <v>242.4015</v>
      </c>
      <c r="W180" s="113">
        <f t="shared" si="35"/>
        <v>6650769.9555000002</v>
      </c>
      <c r="X180" s="99" t="s">
        <v>751</v>
      </c>
      <c r="AH180" s="149">
        <v>16</v>
      </c>
      <c r="AI180" s="149" t="s">
        <v>4405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4685</v>
      </c>
      <c r="R181" s="95">
        <v>3000000</v>
      </c>
      <c r="T181" s="215" t="s">
        <v>4699</v>
      </c>
      <c r="U181" s="215">
        <v>29104</v>
      </c>
      <c r="V181" s="113">
        <v>242.4015</v>
      </c>
      <c r="W181" s="113">
        <f t="shared" si="35"/>
        <v>7054853.2560000001</v>
      </c>
      <c r="X181" s="99" t="s">
        <v>452</v>
      </c>
      <c r="AH181" s="149">
        <v>17</v>
      </c>
      <c r="AI181" s="149" t="s">
        <v>4419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/>
      <c r="R182" s="95"/>
      <c r="T182" s="218" t="s">
        <v>4738</v>
      </c>
      <c r="U182" s="218">
        <v>8991</v>
      </c>
      <c r="V182" s="113">
        <v>238.64867000000001</v>
      </c>
      <c r="W182" s="113">
        <f t="shared" si="35"/>
        <v>2145690.19197</v>
      </c>
      <c r="X182" s="99" t="s">
        <v>751</v>
      </c>
      <c r="AH182" s="149">
        <v>18</v>
      </c>
      <c r="AI182" s="149" t="s">
        <v>4442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/>
      <c r="R183" s="95"/>
      <c r="T183" s="218" t="s">
        <v>4738</v>
      </c>
      <c r="U183" s="218">
        <v>8991</v>
      </c>
      <c r="V183" s="113">
        <v>238.64867000000001</v>
      </c>
      <c r="W183" s="113">
        <f t="shared" si="35"/>
        <v>2145690.19197</v>
      </c>
      <c r="X183" s="99" t="s">
        <v>452</v>
      </c>
      <c r="AH183" s="197">
        <v>19</v>
      </c>
      <c r="AI183" s="197" t="s">
        <v>4444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/>
      <c r="R184" s="95">
        <f>SUM(R176:R182)</f>
        <v>14000000</v>
      </c>
      <c r="T184" s="218" t="s">
        <v>4753</v>
      </c>
      <c r="U184" s="218">
        <v>18170</v>
      </c>
      <c r="V184" s="113">
        <v>240.48475999999999</v>
      </c>
      <c r="W184" s="113">
        <f t="shared" si="35"/>
        <v>4369608.0892000003</v>
      </c>
      <c r="X184" s="99" t="s">
        <v>751</v>
      </c>
      <c r="AH184" s="99">
        <v>20</v>
      </c>
      <c r="AI184" s="99" t="s">
        <v>4445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9" t="s">
        <v>6</v>
      </c>
      <c r="S185" t="s">
        <v>25</v>
      </c>
      <c r="T185" s="218" t="s">
        <v>4753</v>
      </c>
      <c r="U185" s="218">
        <v>18170</v>
      </c>
      <c r="V185" s="113">
        <v>240.48475999999999</v>
      </c>
      <c r="W185" s="113">
        <f t="shared" si="35"/>
        <v>4369608.0892000003</v>
      </c>
      <c r="X185" s="99" t="s">
        <v>452</v>
      </c>
      <c r="Y185" t="s">
        <v>25</v>
      </c>
      <c r="AH185" s="197">
        <v>21</v>
      </c>
      <c r="AI185" s="197" t="s">
        <v>4446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T186" s="218" t="s">
        <v>4758</v>
      </c>
      <c r="U186" s="218">
        <v>36797</v>
      </c>
      <c r="V186" s="113">
        <v>239.0822</v>
      </c>
      <c r="W186" s="113">
        <f t="shared" si="35"/>
        <v>8797507.7134000007</v>
      </c>
      <c r="X186" s="99" t="s">
        <v>751</v>
      </c>
      <c r="AH186" s="99">
        <v>22</v>
      </c>
      <c r="AI186" s="99" t="s">
        <v>4446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6"/>
      <c r="R187" s="96"/>
      <c r="T187" s="218" t="s">
        <v>4758</v>
      </c>
      <c r="U187" s="218">
        <v>36797</v>
      </c>
      <c r="V187" s="113">
        <v>239.0822</v>
      </c>
      <c r="W187" s="113">
        <f t="shared" si="35"/>
        <v>8797507.7134000007</v>
      </c>
      <c r="X187" s="99" t="s">
        <v>452</v>
      </c>
      <c r="Z187" t="s">
        <v>25</v>
      </c>
      <c r="AH187" s="197">
        <v>23</v>
      </c>
      <c r="AI187" s="197" t="s">
        <v>4522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6"/>
      <c r="R188" s="96"/>
      <c r="T188" s="218" t="s">
        <v>4769</v>
      </c>
      <c r="U188" s="218">
        <v>28066</v>
      </c>
      <c r="V188" s="113">
        <v>237.56970000000001</v>
      </c>
      <c r="W188" s="113">
        <f t="shared" si="35"/>
        <v>6667631.2002000008</v>
      </c>
      <c r="X188" s="99" t="s">
        <v>751</v>
      </c>
      <c r="AH188" s="20">
        <v>24</v>
      </c>
      <c r="AI188" s="20" t="s">
        <v>4522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8" t="s">
        <v>4769</v>
      </c>
      <c r="U189" s="218">
        <v>28066</v>
      </c>
      <c r="V189" s="113">
        <v>237.56970000000001</v>
      </c>
      <c r="W189" s="113">
        <f t="shared" si="35"/>
        <v>6667631.2002000008</v>
      </c>
      <c r="X189" s="99" t="s">
        <v>452</v>
      </c>
      <c r="AH189" s="149">
        <v>25</v>
      </c>
      <c r="AI189" s="149" t="s">
        <v>4530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 t="s">
        <v>751</v>
      </c>
      <c r="R190" s="99"/>
      <c r="T190" s="218" t="s">
        <v>3684</v>
      </c>
      <c r="U190" s="218">
        <v>37457</v>
      </c>
      <c r="V190" s="113">
        <v>239.77</v>
      </c>
      <c r="W190" s="113">
        <f t="shared" si="35"/>
        <v>8981064.8900000006</v>
      </c>
      <c r="X190" s="99" t="s">
        <v>751</v>
      </c>
      <c r="AH190" s="99">
        <v>26</v>
      </c>
      <c r="AI190" s="99" t="s">
        <v>4562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 t="s">
        <v>4446</v>
      </c>
      <c r="R191" s="95">
        <v>172908000</v>
      </c>
      <c r="T191" s="218" t="s">
        <v>3684</v>
      </c>
      <c r="U191" s="218">
        <v>37457</v>
      </c>
      <c r="V191" s="113">
        <v>239.77</v>
      </c>
      <c r="W191" s="113">
        <f t="shared" si="35"/>
        <v>8981064.8900000006</v>
      </c>
      <c r="X191" s="99" t="s">
        <v>452</v>
      </c>
      <c r="Y191" t="s">
        <v>25</v>
      </c>
      <c r="AH191" s="99">
        <v>27</v>
      </c>
      <c r="AI191" s="99" t="s">
        <v>4622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Q192" s="99" t="s">
        <v>4487</v>
      </c>
      <c r="R192" s="95">
        <v>1400000</v>
      </c>
      <c r="T192" s="218" t="s">
        <v>4783</v>
      </c>
      <c r="U192" s="218">
        <v>38412</v>
      </c>
      <c r="V192" s="113">
        <v>239.03</v>
      </c>
      <c r="W192" s="113">
        <f t="shared" si="35"/>
        <v>9181620.3599999994</v>
      </c>
      <c r="X192" s="99" t="s">
        <v>751</v>
      </c>
      <c r="AH192" s="149">
        <v>28</v>
      </c>
      <c r="AI192" s="149" t="s">
        <v>4622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4232</v>
      </c>
      <c r="R193" s="95">
        <v>247393</v>
      </c>
      <c r="T193" s="218" t="s">
        <v>4783</v>
      </c>
      <c r="U193" s="218">
        <v>38412</v>
      </c>
      <c r="V193" s="113">
        <v>239.03</v>
      </c>
      <c r="W193" s="113">
        <f t="shared" si="35"/>
        <v>9181620.3599999994</v>
      </c>
      <c r="X193" s="99" t="s">
        <v>452</v>
      </c>
      <c r="AH193" s="149">
        <v>29</v>
      </c>
      <c r="AI193" s="149" t="s">
        <v>4652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4231</v>
      </c>
      <c r="R194" s="95">
        <v>6780000</v>
      </c>
      <c r="T194" s="218" t="s">
        <v>4793</v>
      </c>
      <c r="U194" s="218">
        <v>49555</v>
      </c>
      <c r="V194" s="113">
        <v>238.345</v>
      </c>
      <c r="W194" s="113">
        <f t="shared" si="35"/>
        <v>11811186.475</v>
      </c>
      <c r="X194" s="99" t="s">
        <v>751</v>
      </c>
      <c r="AH194" s="20">
        <v>30</v>
      </c>
      <c r="AI194" s="20" t="s">
        <v>4652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4606</v>
      </c>
      <c r="R195" s="95">
        <v>-4000000</v>
      </c>
      <c r="T195" s="218" t="s">
        <v>4793</v>
      </c>
      <c r="U195" s="218">
        <v>49555</v>
      </c>
      <c r="V195" s="113">
        <v>238.345</v>
      </c>
      <c r="W195" s="113">
        <f t="shared" si="35"/>
        <v>11811186.475</v>
      </c>
      <c r="X195" s="99" t="s">
        <v>452</v>
      </c>
      <c r="AH195" s="149">
        <v>31</v>
      </c>
      <c r="AI195" s="149" t="s">
        <v>4758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4642</v>
      </c>
      <c r="R196" s="95">
        <v>16727037</v>
      </c>
      <c r="T196" s="218" t="s">
        <v>4812</v>
      </c>
      <c r="U196" s="218">
        <v>160187</v>
      </c>
      <c r="V196" s="113">
        <v>257.49799999999999</v>
      </c>
      <c r="W196" s="113">
        <f t="shared" si="35"/>
        <v>41247832.126000002</v>
      </c>
      <c r="X196" s="99" t="s">
        <v>751</v>
      </c>
      <c r="AH196" s="121">
        <v>32</v>
      </c>
      <c r="AI196" s="121" t="s">
        <v>4758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4771</v>
      </c>
    </row>
    <row r="197" spans="17:44">
      <c r="Q197" s="99" t="s">
        <v>4649</v>
      </c>
      <c r="R197" s="95">
        <v>46460683</v>
      </c>
      <c r="T197" s="218" t="s">
        <v>4812</v>
      </c>
      <c r="U197" s="218">
        <v>160187</v>
      </c>
      <c r="V197" s="113">
        <v>257.49799999999999</v>
      </c>
      <c r="W197" s="113">
        <f t="shared" si="35"/>
        <v>41247832.126000002</v>
      </c>
      <c r="X197" s="99" t="s">
        <v>452</v>
      </c>
      <c r="AH197" s="121">
        <v>33</v>
      </c>
      <c r="AI197" s="121" t="s">
        <v>4769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4776</v>
      </c>
      <c r="AQ197" t="s">
        <v>25</v>
      </c>
    </row>
    <row r="198" spans="17:44">
      <c r="Q198" s="99" t="s">
        <v>4652</v>
      </c>
      <c r="R198" s="95">
        <v>19663646</v>
      </c>
      <c r="S198" t="s">
        <v>25</v>
      </c>
      <c r="T198" s="218" t="s">
        <v>4822</v>
      </c>
      <c r="U198" s="218">
        <v>144401</v>
      </c>
      <c r="V198" s="113">
        <v>258.5061</v>
      </c>
      <c r="W198" s="113">
        <f t="shared" si="35"/>
        <v>37328539.346100003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4776</v>
      </c>
    </row>
    <row r="199" spans="17:44">
      <c r="Q199" s="99" t="s">
        <v>4679</v>
      </c>
      <c r="R199" s="95">
        <v>4374525</v>
      </c>
      <c r="T199" s="218" t="s">
        <v>4822</v>
      </c>
      <c r="U199" s="218">
        <v>144401</v>
      </c>
      <c r="V199" s="113">
        <v>258.5061</v>
      </c>
      <c r="W199" s="113">
        <f t="shared" si="35"/>
        <v>37328539.346100003</v>
      </c>
      <c r="X199" s="99" t="s">
        <v>452</v>
      </c>
      <c r="AH199" s="121">
        <v>35</v>
      </c>
      <c r="AI199" s="121" t="s">
        <v>4783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4792</v>
      </c>
    </row>
    <row r="200" spans="17:44">
      <c r="Q200" s="99" t="s">
        <v>4695</v>
      </c>
      <c r="R200" s="95">
        <v>6550580</v>
      </c>
      <c r="T200" s="168" t="s">
        <v>4832</v>
      </c>
      <c r="U200" s="168">
        <v>196500</v>
      </c>
      <c r="V200" s="113">
        <v>254.452</v>
      </c>
      <c r="W200" s="113">
        <f t="shared" si="35"/>
        <v>49999818</v>
      </c>
      <c r="X200" s="99" t="s">
        <v>4840</v>
      </c>
      <c r="AH200" s="121">
        <v>36</v>
      </c>
      <c r="AI200" s="121" t="s">
        <v>4810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4813</v>
      </c>
      <c r="AR200" t="s">
        <v>25</v>
      </c>
    </row>
    <row r="201" spans="17:44">
      <c r="Q201" s="99" t="s">
        <v>4699</v>
      </c>
      <c r="R201" s="95">
        <v>6650895</v>
      </c>
      <c r="T201" s="218" t="s">
        <v>4832</v>
      </c>
      <c r="U201" s="218">
        <v>2561</v>
      </c>
      <c r="V201" s="113">
        <v>254.536</v>
      </c>
      <c r="W201" s="113">
        <f t="shared" si="35"/>
        <v>651866.696</v>
      </c>
      <c r="X201" s="99" t="s">
        <v>4841</v>
      </c>
      <c r="AH201" s="121">
        <v>37</v>
      </c>
      <c r="AI201" s="121" t="s">
        <v>4812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4821</v>
      </c>
    </row>
    <row r="202" spans="17:44">
      <c r="Q202" s="99" t="s">
        <v>4738</v>
      </c>
      <c r="R202" s="95">
        <v>2145814</v>
      </c>
      <c r="S202" t="s">
        <v>25</v>
      </c>
      <c r="T202" s="168"/>
      <c r="U202" s="168"/>
      <c r="V202" s="113"/>
      <c r="W202" s="113"/>
      <c r="X202" s="99"/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4753</v>
      </c>
      <c r="R203" s="95">
        <v>4369730</v>
      </c>
      <c r="T203" s="168"/>
      <c r="U203" s="168">
        <f>SUM(U158:U202)</f>
        <v>3206996</v>
      </c>
      <c r="V203" s="99"/>
      <c r="W203" s="99"/>
      <c r="X203" s="99"/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4758</v>
      </c>
      <c r="R204" s="95">
        <v>8739459</v>
      </c>
      <c r="T204" s="99"/>
      <c r="U204" s="99" t="s">
        <v>6</v>
      </c>
      <c r="V204" s="99"/>
      <c r="W204" s="99"/>
      <c r="X204" s="99"/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4769</v>
      </c>
      <c r="R205" s="95">
        <v>6667654</v>
      </c>
      <c r="T205" s="202" t="s">
        <v>4490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4777</v>
      </c>
      <c r="R206" s="95">
        <v>8981245</v>
      </c>
      <c r="T206" s="201">
        <f>R168/U203</f>
        <v>254.82812367087453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4783</v>
      </c>
      <c r="R207" s="95">
        <v>9181756</v>
      </c>
      <c r="W207" s="114"/>
      <c r="AJ207" t="s">
        <v>4059</v>
      </c>
      <c r="AM207" t="s">
        <v>284</v>
      </c>
      <c r="AN207" t="s">
        <v>943</v>
      </c>
    </row>
    <row r="208" spans="17:44">
      <c r="Q208" s="99" t="s">
        <v>4793</v>
      </c>
      <c r="R208" s="95">
        <v>11811208</v>
      </c>
      <c r="U208" s="96" t="s">
        <v>267</v>
      </c>
      <c r="V208" t="s">
        <v>4491</v>
      </c>
    </row>
    <row r="209" spans="17:44">
      <c r="Q209" s="99" t="s">
        <v>4812</v>
      </c>
      <c r="R209" s="95">
        <v>41248054</v>
      </c>
      <c r="S209" t="s">
        <v>25</v>
      </c>
      <c r="T209" s="114"/>
      <c r="U209" s="113">
        <v>652000</v>
      </c>
      <c r="V209">
        <f>U209/T206</f>
        <v>2558.587296440232</v>
      </c>
      <c r="X209" t="s">
        <v>25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4822</v>
      </c>
      <c r="R210" s="95">
        <v>37328780</v>
      </c>
      <c r="X210" t="s">
        <v>25</v>
      </c>
      <c r="AI210" t="s">
        <v>4064</v>
      </c>
      <c r="AJ210" s="114">
        <f>SUM(N20:N31)</f>
        <v>249823499.29999998</v>
      </c>
      <c r="AQ210" t="s">
        <v>25</v>
      </c>
    </row>
    <row r="211" spans="17:44">
      <c r="Q211" s="99"/>
      <c r="R211" s="95"/>
      <c r="W211" s="228">
        <v>74657561</v>
      </c>
      <c r="X211" s="96">
        <f>W211/2</f>
        <v>37328780.5</v>
      </c>
      <c r="AI211" t="s">
        <v>4136</v>
      </c>
      <c r="AJ211" s="114">
        <f>AJ210-AJ206</f>
        <v>3242301.2999999821</v>
      </c>
    </row>
    <row r="212" spans="17:44">
      <c r="Q212" s="99"/>
      <c r="R212" s="95">
        <f>SUM(R191:R211)</f>
        <v>408236459</v>
      </c>
      <c r="AI212" t="s">
        <v>943</v>
      </c>
      <c r="AJ212" s="114">
        <f>AN206</f>
        <v>2837034.5980645162</v>
      </c>
    </row>
    <row r="213" spans="17:44">
      <c r="Q213" s="99"/>
      <c r="R213" s="99" t="s">
        <v>6</v>
      </c>
      <c r="AI213" t="s">
        <v>4065</v>
      </c>
      <c r="AJ213" s="114">
        <f>AJ211-AJ212</f>
        <v>405266.70193546591</v>
      </c>
      <c r="AN213" t="s">
        <v>25</v>
      </c>
    </row>
    <row r="214" spans="17:44" ht="60">
      <c r="S214" t="s">
        <v>25</v>
      </c>
      <c r="T214" s="22" t="s">
        <v>4474</v>
      </c>
      <c r="X214" t="s">
        <v>25</v>
      </c>
      <c r="Y214" s="96">
        <f>W211/15</f>
        <v>4977170.7333333334</v>
      </c>
      <c r="AN214" t="s">
        <v>25</v>
      </c>
    </row>
    <row r="215" spans="17:44" ht="45">
      <c r="T215" s="22" t="s">
        <v>4475</v>
      </c>
    </row>
    <row r="216" spans="17:44">
      <c r="Q216" s="99" t="s">
        <v>452</v>
      </c>
      <c r="R216" s="99"/>
    </row>
    <row r="217" spans="17:44">
      <c r="Q217" s="99" t="s">
        <v>4446</v>
      </c>
      <c r="R217" s="95">
        <v>63115000</v>
      </c>
    </row>
    <row r="218" spans="17:44">
      <c r="Q218" s="99" t="s">
        <v>4501</v>
      </c>
      <c r="R218" s="95">
        <v>13300000</v>
      </c>
      <c r="T218" s="99" t="s">
        <v>4492</v>
      </c>
      <c r="U218" s="99" t="s">
        <v>4463</v>
      </c>
      <c r="V218" s="99" t="s">
        <v>953</v>
      </c>
    </row>
    <row r="219" spans="17:44">
      <c r="Q219" s="99" t="s">
        <v>4511</v>
      </c>
      <c r="R219" s="95">
        <v>2269000</v>
      </c>
      <c r="T219" s="95">
        <f>R184+R212+R237</f>
        <v>786346401</v>
      </c>
      <c r="U219" s="95">
        <f>R168</f>
        <v>817232773.29999995</v>
      </c>
      <c r="V219" s="95">
        <f>U219-T219</f>
        <v>30886372.299999952</v>
      </c>
    </row>
    <row r="220" spans="17:44">
      <c r="Q220" s="99" t="s">
        <v>4637</v>
      </c>
      <c r="R220" s="95">
        <v>25071612</v>
      </c>
    </row>
    <row r="221" spans="17:44">
      <c r="Q221" s="99" t="s">
        <v>4649</v>
      </c>
      <c r="R221" s="95">
        <v>42236984</v>
      </c>
    </row>
    <row r="222" spans="17:44">
      <c r="Q222" s="99" t="s">
        <v>4652</v>
      </c>
      <c r="R222" s="95">
        <v>19663646</v>
      </c>
    </row>
    <row r="223" spans="17:44">
      <c r="Q223" s="99" t="s">
        <v>4679</v>
      </c>
      <c r="R223" s="95">
        <v>4374525</v>
      </c>
    </row>
    <row r="224" spans="17:44">
      <c r="Q224" s="99" t="s">
        <v>4695</v>
      </c>
      <c r="R224" s="95">
        <v>6550580</v>
      </c>
      <c r="T224" t="s">
        <v>25</v>
      </c>
    </row>
    <row r="225" spans="17:20">
      <c r="Q225" s="99" t="s">
        <v>4699</v>
      </c>
      <c r="R225" s="95">
        <v>7054895</v>
      </c>
      <c r="T225" t="s">
        <v>25</v>
      </c>
    </row>
    <row r="226" spans="17:20">
      <c r="Q226" s="99" t="s">
        <v>4738</v>
      </c>
      <c r="R226" s="95">
        <v>2145814</v>
      </c>
    </row>
    <row r="227" spans="17:20">
      <c r="Q227" s="99" t="s">
        <v>4753</v>
      </c>
      <c r="R227" s="95">
        <v>4369730</v>
      </c>
      <c r="T227" t="s">
        <v>25</v>
      </c>
    </row>
    <row r="228" spans="17:20">
      <c r="Q228" s="99" t="s">
        <v>4758</v>
      </c>
      <c r="R228" s="95">
        <v>8739459</v>
      </c>
    </row>
    <row r="229" spans="17:20">
      <c r="Q229" s="99" t="s">
        <v>4769</v>
      </c>
      <c r="R229" s="95">
        <v>6667654</v>
      </c>
    </row>
    <row r="230" spans="17:20">
      <c r="Q230" s="99" t="s">
        <v>3684</v>
      </c>
      <c r="R230" s="95">
        <v>8981245</v>
      </c>
    </row>
    <row r="231" spans="17:20">
      <c r="Q231" s="99" t="s">
        <v>4783</v>
      </c>
      <c r="R231" s="95">
        <v>9181756</v>
      </c>
      <c r="T231" t="s">
        <v>25</v>
      </c>
    </row>
    <row r="232" spans="17:20">
      <c r="Q232" s="99" t="s">
        <v>4793</v>
      </c>
      <c r="R232" s="95">
        <v>11811208</v>
      </c>
      <c r="T232" t="s">
        <v>25</v>
      </c>
    </row>
    <row r="233" spans="17:20">
      <c r="Q233" s="99" t="s">
        <v>4812</v>
      </c>
      <c r="R233" s="95">
        <v>41248054</v>
      </c>
    </row>
    <row r="234" spans="17:20">
      <c r="Q234" s="99" t="s">
        <v>4822</v>
      </c>
      <c r="R234" s="95">
        <v>37328780</v>
      </c>
      <c r="T234" t="s">
        <v>25</v>
      </c>
    </row>
    <row r="235" spans="17:20">
      <c r="Q235" s="99" t="s">
        <v>4832</v>
      </c>
      <c r="R235" s="95">
        <v>50000000</v>
      </c>
      <c r="T235" t="s">
        <v>25</v>
      </c>
    </row>
    <row r="236" spans="17:20">
      <c r="Q236" s="99"/>
      <c r="R236" s="95"/>
    </row>
    <row r="237" spans="17:20">
      <c r="Q237" s="99"/>
      <c r="R237" s="95">
        <f>SUM(R217:R236)</f>
        <v>364109942</v>
      </c>
    </row>
    <row r="238" spans="17:20">
      <c r="Q238" s="99"/>
      <c r="R238" s="99" t="s">
        <v>6</v>
      </c>
    </row>
    <row r="239" spans="17:20">
      <c r="T239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5 S87 S93 S96:S98 S101 S107:S108 S103 S118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C61" workbookViewId="0">
      <selection activeCell="G67" sqref="G6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4437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4489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4548</v>
      </c>
      <c r="Y1" s="168" t="s">
        <v>950</v>
      </c>
      <c r="Z1" s="168" t="s">
        <v>937</v>
      </c>
      <c r="AA1" s="168" t="s">
        <v>4548</v>
      </c>
      <c r="AB1" s="168" t="s">
        <v>950</v>
      </c>
      <c r="AC1" s="168" t="s">
        <v>937</v>
      </c>
      <c r="AD1" s="168" t="s">
        <v>4659</v>
      </c>
      <c r="AE1" s="168" t="s">
        <v>4660</v>
      </c>
      <c r="AF1" s="99" t="s">
        <v>8</v>
      </c>
    </row>
    <row r="2" spans="1:32">
      <c r="A2" s="99" t="s">
        <v>4243</v>
      </c>
      <c r="B2" s="205">
        <v>1707</v>
      </c>
      <c r="C2" s="207" t="s">
        <v>4625</v>
      </c>
      <c r="D2" s="99" t="s">
        <v>4505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4538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4597</v>
      </c>
      <c r="B3" s="205">
        <v>1184</v>
      </c>
      <c r="C3" s="207" t="s">
        <v>4603</v>
      </c>
      <c r="D3" s="99"/>
      <c r="J3" s="168">
        <v>2</v>
      </c>
      <c r="K3" s="168" t="s">
        <v>4501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4537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2" si="2">AB3/Y3</f>
        <v>0.57449014863463521</v>
      </c>
      <c r="AF3" s="99"/>
    </row>
    <row r="4" spans="1:32">
      <c r="A4" s="99" t="s">
        <v>4598</v>
      </c>
      <c r="B4" s="205">
        <v>1804</v>
      </c>
      <c r="C4" s="207" t="s">
        <v>4604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4539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4">
        <v>4</v>
      </c>
      <c r="K5" s="224" t="s">
        <v>4632</v>
      </c>
      <c r="L5" s="225">
        <v>0</v>
      </c>
      <c r="M5" s="224">
        <v>3</v>
      </c>
      <c r="N5" s="225">
        <f t="shared" ref="N5" si="3">L5*M5</f>
        <v>0</v>
      </c>
      <c r="O5" s="226" t="s">
        <v>4636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4505</v>
      </c>
      <c r="F6" t="s">
        <v>25</v>
      </c>
      <c r="G6" s="96"/>
      <c r="H6" s="96"/>
      <c r="I6" s="96"/>
      <c r="J6" s="168">
        <v>5</v>
      </c>
      <c r="K6" s="168" t="s">
        <v>4637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4642</v>
      </c>
      <c r="X6" s="168" t="s">
        <v>1086</v>
      </c>
      <c r="Y6" s="113">
        <v>4183832</v>
      </c>
      <c r="Z6" s="168">
        <f>AB6*AC6/Y6</f>
        <v>2.132843288162622</v>
      </c>
      <c r="AA6" s="193" t="s">
        <v>4392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4573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4642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4642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4644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4545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4649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4642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4544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4591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4649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4649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4392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4411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4652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4649</v>
      </c>
      <c r="X10" s="168" t="s">
        <v>1086</v>
      </c>
      <c r="Y10" s="113">
        <v>4186993</v>
      </c>
      <c r="Z10" s="168">
        <f t="shared" si="4"/>
        <v>3.0092622557525175</v>
      </c>
      <c r="AA10" s="221" t="s">
        <v>4396</v>
      </c>
      <c r="AB10" s="113">
        <v>5249.9</v>
      </c>
      <c r="AC10" s="168">
        <v>2400</v>
      </c>
      <c r="AD10" s="221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4652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4652</v>
      </c>
      <c r="X11" s="168" t="s">
        <v>1086</v>
      </c>
      <c r="Y11" s="113">
        <v>4223698</v>
      </c>
      <c r="Z11" s="168">
        <f t="shared" si="4"/>
        <v>11.463347995050782</v>
      </c>
      <c r="AA11" s="221" t="s">
        <v>4396</v>
      </c>
      <c r="AB11" s="113">
        <v>5330</v>
      </c>
      <c r="AC11" s="168">
        <v>9084</v>
      </c>
      <c r="AD11" s="221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4564</v>
      </c>
      <c r="B12" s="205">
        <v>416405</v>
      </c>
      <c r="C12" s="169"/>
      <c r="D12" s="59" t="s">
        <v>4868</v>
      </c>
      <c r="F12" s="114">
        <v>0</v>
      </c>
      <c r="J12" s="168">
        <v>11</v>
      </c>
      <c r="K12" s="168" t="s">
        <v>4679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4652</v>
      </c>
      <c r="X12" s="168" t="s">
        <v>1086</v>
      </c>
      <c r="Y12" s="113">
        <v>4223698</v>
      </c>
      <c r="Z12" s="168">
        <f t="shared" si="4"/>
        <v>9.4380816762940896</v>
      </c>
      <c r="AA12" s="227" t="s">
        <v>4411</v>
      </c>
      <c r="AB12" s="113">
        <v>498.9</v>
      </c>
      <c r="AC12" s="168">
        <v>79903</v>
      </c>
      <c r="AD12" s="227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4679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4668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4627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4668</v>
      </c>
      <c r="X14" s="168" t="s">
        <v>1086</v>
      </c>
      <c r="Y14" s="113">
        <v>4369699</v>
      </c>
      <c r="Z14" s="168">
        <f t="shared" si="4"/>
        <v>8.608136716052984</v>
      </c>
      <c r="AA14" s="221" t="s">
        <v>4396</v>
      </c>
      <c r="AB14" s="113">
        <v>5393.6</v>
      </c>
      <c r="AC14" s="168">
        <v>6974</v>
      </c>
      <c r="AD14" s="221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416405</v>
      </c>
      <c r="J15" s="168">
        <v>14</v>
      </c>
      <c r="K15" s="168" t="s">
        <v>4695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4685</v>
      </c>
      <c r="X15" s="168" t="s">
        <v>1086</v>
      </c>
      <c r="Y15" s="113">
        <v>4374000</v>
      </c>
      <c r="Z15" s="168">
        <f t="shared" si="4"/>
        <v>2.0343806584362141</v>
      </c>
      <c r="AA15" s="221" t="s">
        <v>4396</v>
      </c>
      <c r="AB15" s="117">
        <v>5179.5</v>
      </c>
      <c r="AC15" s="19">
        <v>1718</v>
      </c>
      <c r="AD15" s="221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4699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4699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4392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4699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6" t="s">
        <v>4699</v>
      </c>
      <c r="X17" s="216" t="s">
        <v>1086</v>
      </c>
      <c r="Y17" s="113">
        <v>4367053</v>
      </c>
      <c r="Z17" s="216">
        <f t="shared" si="4"/>
        <v>0.12751793944337292</v>
      </c>
      <c r="AA17" s="227" t="s">
        <v>4411</v>
      </c>
      <c r="AB17" s="117">
        <v>508.1</v>
      </c>
      <c r="AC17" s="19">
        <v>1096</v>
      </c>
      <c r="AD17" s="227">
        <f>Y17/AB17</f>
        <v>8594.8691202519185</v>
      </c>
      <c r="AE17" s="216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4493</v>
      </c>
      <c r="J18" s="218">
        <v>17</v>
      </c>
      <c r="K18" s="218" t="s">
        <v>4738</v>
      </c>
      <c r="L18" s="169">
        <v>4291628</v>
      </c>
      <c r="M18" s="218">
        <v>0.5</v>
      </c>
      <c r="N18" s="113">
        <v>2145814</v>
      </c>
      <c r="O18" s="99" t="s">
        <v>751</v>
      </c>
      <c r="W18" s="168" t="s">
        <v>4724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4392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4500</v>
      </c>
      <c r="J19" s="218">
        <v>18</v>
      </c>
      <c r="K19" s="218" t="s">
        <v>4738</v>
      </c>
      <c r="L19" s="169">
        <v>4291628</v>
      </c>
      <c r="M19" s="218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4724</v>
      </c>
      <c r="X19" s="168" t="s">
        <v>1086</v>
      </c>
      <c r="Y19" s="113">
        <v>4433930</v>
      </c>
      <c r="Z19" s="168">
        <f t="shared" si="4"/>
        <v>0.13984559972755545</v>
      </c>
      <c r="AA19" s="227" t="s">
        <v>4411</v>
      </c>
      <c r="AB19" s="117">
        <v>503.3</v>
      </c>
      <c r="AC19" s="19">
        <v>1232</v>
      </c>
      <c r="AD19" s="227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4506</v>
      </c>
      <c r="B20" s="206"/>
      <c r="C20" s="169">
        <v>3894000</v>
      </c>
      <c r="D20" s="99" t="s">
        <v>4501</v>
      </c>
      <c r="J20" s="218">
        <v>19</v>
      </c>
      <c r="K20" s="218" t="s">
        <v>4753</v>
      </c>
      <c r="L20" s="169">
        <v>4369730</v>
      </c>
      <c r="M20" s="218">
        <v>1</v>
      </c>
      <c r="N20" s="113">
        <f t="shared" ref="N20:N36" si="7">L20*M20</f>
        <v>4369730</v>
      </c>
      <c r="O20" s="99" t="s">
        <v>751</v>
      </c>
      <c r="W20" s="168" t="s">
        <v>4731</v>
      </c>
      <c r="X20" s="168" t="s">
        <v>1086</v>
      </c>
      <c r="Y20" s="113">
        <v>4183832</v>
      </c>
      <c r="Z20" s="218">
        <v>0.24415416297786335</v>
      </c>
      <c r="AA20" s="227" t="s">
        <v>4411</v>
      </c>
      <c r="AB20" s="117">
        <v>501.2</v>
      </c>
      <c r="AC20" s="19">
        <f>Y20*Z20/AB20</f>
        <v>2038.1085395051875</v>
      </c>
      <c r="AD20" s="227">
        <f t="shared" ref="AD20:AD41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4501</v>
      </c>
      <c r="J21" s="218">
        <v>20</v>
      </c>
      <c r="K21" s="218" t="s">
        <v>4753</v>
      </c>
      <c r="L21" s="169">
        <v>4369730</v>
      </c>
      <c r="M21" s="218">
        <v>1</v>
      </c>
      <c r="N21" s="113">
        <f t="shared" si="7"/>
        <v>4369730</v>
      </c>
      <c r="O21" s="99" t="s">
        <v>452</v>
      </c>
      <c r="R21" t="s">
        <v>25</v>
      </c>
      <c r="W21" s="218" t="s">
        <v>4738</v>
      </c>
      <c r="X21" s="218" t="s">
        <v>1086</v>
      </c>
      <c r="Y21" s="113">
        <v>4183832</v>
      </c>
      <c r="Z21" s="218">
        <v>0.23385260211213069</v>
      </c>
      <c r="AA21" s="227" t="s">
        <v>4411</v>
      </c>
      <c r="AB21" s="117">
        <v>481.7</v>
      </c>
      <c r="AC21" s="19">
        <f>Y21*Z21/AB21</f>
        <v>2031.1397135146358</v>
      </c>
      <c r="AD21" s="227">
        <f t="shared" si="8"/>
        <v>8685.555324891011</v>
      </c>
      <c r="AE21" s="218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4501</v>
      </c>
      <c r="J22" s="168">
        <v>21</v>
      </c>
      <c r="K22" s="168" t="s">
        <v>4755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8" t="s">
        <v>4741</v>
      </c>
      <c r="X22" s="218" t="s">
        <v>1086</v>
      </c>
      <c r="Y22" s="113">
        <v>4291628</v>
      </c>
      <c r="Z22" s="218">
        <f t="shared" ref="Z22:Z42" si="9">AB22*AC22/Y22</f>
        <v>0.94748414820669458</v>
      </c>
      <c r="AA22" s="199" t="s">
        <v>4392</v>
      </c>
      <c r="AB22" s="117">
        <v>3115.9</v>
      </c>
      <c r="AC22" s="19">
        <v>1305</v>
      </c>
      <c r="AD22" s="199">
        <f t="shared" si="8"/>
        <v>1377.3317500561634</v>
      </c>
      <c r="AE22" s="218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4501</v>
      </c>
      <c r="J23" s="218">
        <v>22</v>
      </c>
      <c r="K23" s="218" t="s">
        <v>4755</v>
      </c>
      <c r="L23" s="113">
        <v>4398820</v>
      </c>
      <c r="M23" s="218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4741</v>
      </c>
      <c r="X23" s="168" t="s">
        <v>1086</v>
      </c>
      <c r="Y23" s="113">
        <v>4291628</v>
      </c>
      <c r="Z23" s="218">
        <f t="shared" si="9"/>
        <v>4.7641314671262279E-2</v>
      </c>
      <c r="AA23" s="19" t="s">
        <v>4598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4508</v>
      </c>
      <c r="B24" s="205">
        <v>4020000</v>
      </c>
      <c r="C24" s="169">
        <v>30000</v>
      </c>
      <c r="D24" s="99" t="s">
        <v>4505</v>
      </c>
      <c r="J24" s="224">
        <v>23</v>
      </c>
      <c r="K24" s="224" t="s">
        <v>4755</v>
      </c>
      <c r="L24" s="225">
        <v>4388600</v>
      </c>
      <c r="M24" s="224">
        <v>5</v>
      </c>
      <c r="N24" s="225">
        <f t="shared" si="7"/>
        <v>21943000</v>
      </c>
      <c r="O24" s="226" t="s">
        <v>4770</v>
      </c>
      <c r="W24" s="218" t="s">
        <v>4755</v>
      </c>
      <c r="X24" s="218" t="s">
        <v>1086</v>
      </c>
      <c r="Y24" s="113">
        <v>4369730</v>
      </c>
      <c r="Z24" s="218">
        <f t="shared" si="9"/>
        <v>1.9131203758584627</v>
      </c>
      <c r="AA24" s="199" t="s">
        <v>4392</v>
      </c>
      <c r="AB24" s="117">
        <v>3120.5</v>
      </c>
      <c r="AC24" s="19">
        <v>2679</v>
      </c>
      <c r="AD24" s="199">
        <f t="shared" si="8"/>
        <v>1400.3300753084441</v>
      </c>
      <c r="AE24" s="218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4507</v>
      </c>
      <c r="J25" s="218">
        <v>24</v>
      </c>
      <c r="K25" s="218" t="s">
        <v>4758</v>
      </c>
      <c r="L25" s="113">
        <v>4445103</v>
      </c>
      <c r="M25" s="218">
        <v>1.5</v>
      </c>
      <c r="N25" s="113">
        <f t="shared" si="7"/>
        <v>6667654.5</v>
      </c>
      <c r="O25" s="99" t="s">
        <v>751</v>
      </c>
      <c r="W25" s="218" t="s">
        <v>4758</v>
      </c>
      <c r="X25" s="218" t="s">
        <v>1086</v>
      </c>
      <c r="Y25" s="113">
        <v>4398820</v>
      </c>
      <c r="Z25" s="218">
        <f t="shared" si="9"/>
        <v>3.9898935623644527</v>
      </c>
      <c r="AA25" s="199" t="s">
        <v>4392</v>
      </c>
      <c r="AB25" s="117">
        <v>3112.4</v>
      </c>
      <c r="AC25" s="19">
        <v>5639</v>
      </c>
      <c r="AD25" s="199">
        <f t="shared" si="8"/>
        <v>1413.3209099087521</v>
      </c>
      <c r="AE25" s="218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4511</v>
      </c>
      <c r="J26" s="218">
        <v>25</v>
      </c>
      <c r="K26" s="218" t="s">
        <v>4758</v>
      </c>
      <c r="L26" s="113">
        <v>4445103</v>
      </c>
      <c r="M26" s="218">
        <v>1.5</v>
      </c>
      <c r="N26" s="113">
        <f t="shared" si="7"/>
        <v>6667654.5</v>
      </c>
      <c r="O26" s="99" t="s">
        <v>452</v>
      </c>
      <c r="R26" t="s">
        <v>25</v>
      </c>
      <c r="W26" s="218" t="s">
        <v>4769</v>
      </c>
      <c r="X26" s="218" t="s">
        <v>1086</v>
      </c>
      <c r="Y26" s="113">
        <v>4445103</v>
      </c>
      <c r="Z26" s="218">
        <f>AB26*AC26/Y26</f>
        <v>1.8767484128039327</v>
      </c>
      <c r="AA26" s="227" t="s">
        <v>4411</v>
      </c>
      <c r="AB26" s="117">
        <v>489</v>
      </c>
      <c r="AC26" s="19">
        <v>17060</v>
      </c>
      <c r="AD26" s="227">
        <f t="shared" si="8"/>
        <v>9090.1901840490791</v>
      </c>
      <c r="AE26" s="218">
        <f t="shared" si="2"/>
        <v>1.1000869946095737E-4</v>
      </c>
      <c r="AF26" s="99"/>
    </row>
    <row r="27" spans="1:32">
      <c r="A27" s="99"/>
      <c r="B27" s="205"/>
      <c r="C27" s="169"/>
      <c r="D27" s="99" t="s">
        <v>4519</v>
      </c>
      <c r="J27" s="218">
        <v>26</v>
      </c>
      <c r="K27" s="218" t="s">
        <v>4769</v>
      </c>
      <c r="L27" s="113">
        <v>4490623</v>
      </c>
      <c r="M27" s="218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8" t="s">
        <v>3684</v>
      </c>
      <c r="X27" s="218" t="s">
        <v>1086</v>
      </c>
      <c r="Y27" s="113">
        <v>4490623</v>
      </c>
      <c r="Z27" s="218">
        <f t="shared" si="9"/>
        <v>3.9795864404560346</v>
      </c>
      <c r="AA27" s="227" t="s">
        <v>4411</v>
      </c>
      <c r="AB27" s="218">
        <v>486.4</v>
      </c>
      <c r="AC27" s="218">
        <v>36741</v>
      </c>
      <c r="AD27" s="227">
        <f t="shared" si="8"/>
        <v>9232.3663651315801</v>
      </c>
      <c r="AE27" s="218">
        <f t="shared" si="2"/>
        <v>1.0831459242960275E-4</v>
      </c>
      <c r="AF27" s="99"/>
    </row>
    <row r="28" spans="1:32">
      <c r="A28" s="99" t="s">
        <v>4540</v>
      </c>
      <c r="B28" s="205"/>
      <c r="C28" s="169">
        <v>3421299</v>
      </c>
      <c r="D28" s="99" t="s">
        <v>4231</v>
      </c>
      <c r="J28" s="218">
        <v>27</v>
      </c>
      <c r="K28" s="218" t="s">
        <v>4769</v>
      </c>
      <c r="L28" s="113">
        <v>4490623</v>
      </c>
      <c r="M28" s="218">
        <v>2</v>
      </c>
      <c r="N28" s="113">
        <f t="shared" si="7"/>
        <v>8981246</v>
      </c>
      <c r="O28" s="99" t="s">
        <v>452</v>
      </c>
      <c r="W28" s="218" t="s">
        <v>4783</v>
      </c>
      <c r="X28" s="218" t="s">
        <v>1086</v>
      </c>
      <c r="Y28" s="113">
        <v>4590878</v>
      </c>
      <c r="Z28" s="218">
        <f t="shared" si="9"/>
        <v>2.0741130563696095</v>
      </c>
      <c r="AA28" s="213" t="s">
        <v>4411</v>
      </c>
      <c r="AB28" s="218">
        <v>476.1</v>
      </c>
      <c r="AC28" s="218">
        <v>20000</v>
      </c>
      <c r="AD28" s="213">
        <f t="shared" si="8"/>
        <v>9642.6759084225996</v>
      </c>
      <c r="AE28" s="218">
        <f t="shared" si="2"/>
        <v>1.0370565281848048E-4</v>
      </c>
      <c r="AF28" s="99"/>
    </row>
    <row r="29" spans="1:32">
      <c r="A29" s="99" t="s">
        <v>4569</v>
      </c>
      <c r="B29" s="205"/>
      <c r="C29" s="169">
        <v>3490000</v>
      </c>
      <c r="D29" s="99" t="s">
        <v>4231</v>
      </c>
      <c r="J29" s="218">
        <v>28</v>
      </c>
      <c r="K29" s="218" t="s">
        <v>3684</v>
      </c>
      <c r="L29" s="113">
        <v>4590878</v>
      </c>
      <c r="M29" s="218">
        <v>2</v>
      </c>
      <c r="N29" s="113">
        <f t="shared" si="7"/>
        <v>9181756</v>
      </c>
      <c r="O29" s="99" t="s">
        <v>751</v>
      </c>
      <c r="W29" s="218" t="s">
        <v>4783</v>
      </c>
      <c r="X29" s="218" t="s">
        <v>1086</v>
      </c>
      <c r="Y29" s="113">
        <v>4590878</v>
      </c>
      <c r="Z29" s="218">
        <f t="shared" si="9"/>
        <v>2.3602445980921298</v>
      </c>
      <c r="AA29" s="199" t="s">
        <v>4392</v>
      </c>
      <c r="AB29" s="218">
        <v>3095</v>
      </c>
      <c r="AC29" s="218">
        <v>3501</v>
      </c>
      <c r="AD29" s="199">
        <f t="shared" si="8"/>
        <v>1483.3208400646204</v>
      </c>
      <c r="AE29" s="218">
        <f t="shared" si="2"/>
        <v>6.7416298146019129E-4</v>
      </c>
      <c r="AF29" s="99"/>
    </row>
    <row r="30" spans="1:32">
      <c r="A30" s="99" t="s">
        <v>4570</v>
      </c>
      <c r="B30" s="205"/>
      <c r="C30" s="169">
        <v>271000</v>
      </c>
      <c r="D30" s="99" t="s">
        <v>4566</v>
      </c>
      <c r="J30" s="218">
        <v>29</v>
      </c>
      <c r="K30" s="218" t="s">
        <v>3684</v>
      </c>
      <c r="L30" s="113">
        <v>4590878</v>
      </c>
      <c r="M30" s="218">
        <v>2</v>
      </c>
      <c r="N30" s="113">
        <f t="shared" si="7"/>
        <v>9181756</v>
      </c>
      <c r="O30" s="99" t="s">
        <v>452</v>
      </c>
      <c r="R30" t="s">
        <v>25</v>
      </c>
      <c r="W30" s="218" t="s">
        <v>4783</v>
      </c>
      <c r="X30" s="218" t="s">
        <v>1086</v>
      </c>
      <c r="Y30" s="113">
        <v>4590878</v>
      </c>
      <c r="Z30" s="218">
        <f t="shared" si="9"/>
        <v>0.33907971416360883</v>
      </c>
      <c r="AA30" s="230" t="s">
        <v>4243</v>
      </c>
      <c r="AB30" s="117">
        <v>168.8</v>
      </c>
      <c r="AC30" s="19">
        <v>9222</v>
      </c>
      <c r="AD30" s="230">
        <f t="shared" si="8"/>
        <v>27197.14454976303</v>
      </c>
      <c r="AE30" s="218">
        <f t="shared" si="2"/>
        <v>3.6768565838604295E-5</v>
      </c>
      <c r="AF30" s="99"/>
    </row>
    <row r="31" spans="1:32">
      <c r="A31" s="99" t="s">
        <v>4578</v>
      </c>
      <c r="B31" s="205"/>
      <c r="C31" s="169">
        <v>69700</v>
      </c>
      <c r="D31" s="99" t="s">
        <v>4571</v>
      </c>
      <c r="J31" s="218">
        <v>30</v>
      </c>
      <c r="K31" s="218" t="s">
        <v>4783</v>
      </c>
      <c r="L31" s="113">
        <v>4724483</v>
      </c>
      <c r="M31" s="218">
        <v>2.5</v>
      </c>
      <c r="N31" s="113">
        <f t="shared" si="7"/>
        <v>11811207.5</v>
      </c>
      <c r="O31" s="99" t="s">
        <v>751</v>
      </c>
      <c r="W31" s="218" t="s">
        <v>4783</v>
      </c>
      <c r="X31" s="218" t="s">
        <v>1086</v>
      </c>
      <c r="Y31" s="113">
        <v>4590878</v>
      </c>
      <c r="Z31" s="218">
        <f t="shared" si="9"/>
        <v>1.0887767002303264</v>
      </c>
      <c r="AA31" s="13" t="s">
        <v>4545</v>
      </c>
      <c r="AB31" s="117">
        <v>3859.8</v>
      </c>
      <c r="AC31" s="19">
        <v>1295</v>
      </c>
      <c r="AD31" s="13">
        <f t="shared" si="8"/>
        <v>1189.4082594953106</v>
      </c>
      <c r="AE31" s="218">
        <f t="shared" si="2"/>
        <v>8.4075420867206669E-4</v>
      </c>
      <c r="AF31" s="99"/>
    </row>
    <row r="32" spans="1:32">
      <c r="A32" s="99"/>
      <c r="B32" s="205"/>
      <c r="C32" s="169"/>
      <c r="D32" s="99"/>
      <c r="J32" s="218">
        <v>31</v>
      </c>
      <c r="K32" s="218" t="s">
        <v>4783</v>
      </c>
      <c r="L32" s="113">
        <v>4724483</v>
      </c>
      <c r="M32" s="218">
        <v>2.5</v>
      </c>
      <c r="N32" s="113">
        <f t="shared" si="7"/>
        <v>11811207.5</v>
      </c>
      <c r="O32" s="99" t="s">
        <v>452</v>
      </c>
      <c r="W32" s="218" t="s">
        <v>4793</v>
      </c>
      <c r="X32" s="218" t="s">
        <v>1086</v>
      </c>
      <c r="Y32" s="113">
        <v>4445103</v>
      </c>
      <c r="Z32" s="218">
        <f t="shared" si="9"/>
        <v>1.0998433557107676</v>
      </c>
      <c r="AA32" s="193" t="s">
        <v>4392</v>
      </c>
      <c r="AB32" s="117">
        <v>3069</v>
      </c>
      <c r="AC32" s="218">
        <v>1593</v>
      </c>
      <c r="AD32" s="193">
        <f t="shared" si="8"/>
        <v>1448.3880742913002</v>
      </c>
      <c r="AE32" s="218">
        <f t="shared" si="2"/>
        <v>6.9042269661692874E-4</v>
      </c>
      <c r="AF32" s="99" t="s">
        <v>4795</v>
      </c>
    </row>
    <row r="33" spans="1:32">
      <c r="A33" s="99"/>
      <c r="B33" s="205"/>
      <c r="C33" s="169"/>
      <c r="D33" s="99"/>
      <c r="J33" s="218">
        <v>32</v>
      </c>
      <c r="K33" s="218" t="s">
        <v>4810</v>
      </c>
      <c r="L33" s="113">
        <v>4852712</v>
      </c>
      <c r="M33" s="218">
        <v>8.5</v>
      </c>
      <c r="N33" s="113">
        <f t="shared" si="7"/>
        <v>41248052</v>
      </c>
      <c r="O33" s="99" t="s">
        <v>751</v>
      </c>
      <c r="W33" s="218" t="s">
        <v>4793</v>
      </c>
      <c r="X33" s="218" t="s">
        <v>1086</v>
      </c>
      <c r="Y33" s="113">
        <v>4724483</v>
      </c>
      <c r="Z33" s="218">
        <f t="shared" si="9"/>
        <v>2.1503257816781223</v>
      </c>
      <c r="AA33" s="194" t="s">
        <v>4392</v>
      </c>
      <c r="AB33" s="117">
        <v>3099.2</v>
      </c>
      <c r="AC33" s="218">
        <v>3278</v>
      </c>
      <c r="AD33" s="194">
        <f t="shared" si="8"/>
        <v>1524.4201729478575</v>
      </c>
      <c r="AE33" s="218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8">
        <v>33</v>
      </c>
      <c r="K34" s="218" t="s">
        <v>4810</v>
      </c>
      <c r="L34" s="113">
        <v>4852712</v>
      </c>
      <c r="M34" s="218">
        <v>8.5</v>
      </c>
      <c r="N34" s="113">
        <f t="shared" si="7"/>
        <v>41248052</v>
      </c>
      <c r="O34" s="99" t="s">
        <v>452</v>
      </c>
      <c r="W34" s="218" t="s">
        <v>4793</v>
      </c>
      <c r="X34" s="218" t="s">
        <v>1086</v>
      </c>
      <c r="Y34" s="113">
        <v>4724483</v>
      </c>
      <c r="Z34" s="218">
        <f t="shared" si="9"/>
        <v>2.8236157480088302</v>
      </c>
      <c r="AA34" s="5" t="s">
        <v>4545</v>
      </c>
      <c r="AB34" s="117">
        <v>3853.3</v>
      </c>
      <c r="AC34" s="218">
        <v>3462</v>
      </c>
      <c r="AD34" s="5">
        <f t="shared" si="8"/>
        <v>1226.0875094075207</v>
      </c>
      <c r="AE34" s="218">
        <f t="shared" si="2"/>
        <v>8.1560246909556037E-4</v>
      </c>
      <c r="AF34" s="99"/>
    </row>
    <row r="35" spans="1:32">
      <c r="A35" s="99"/>
      <c r="B35" s="169"/>
      <c r="C35" s="169"/>
      <c r="D35" s="99"/>
      <c r="J35" s="218">
        <v>34</v>
      </c>
      <c r="K35" s="218" t="s">
        <v>4812</v>
      </c>
      <c r="L35" s="113">
        <v>4977171</v>
      </c>
      <c r="M35" s="218">
        <v>7.5</v>
      </c>
      <c r="N35" s="113">
        <f t="shared" si="7"/>
        <v>37328782.5</v>
      </c>
      <c r="O35" s="99" t="s">
        <v>751</v>
      </c>
      <c r="W35" s="218" t="s">
        <v>4812</v>
      </c>
      <c r="X35" s="218" t="s">
        <v>1086</v>
      </c>
      <c r="Y35" s="113">
        <v>4852712</v>
      </c>
      <c r="Z35" s="218">
        <f t="shared" si="9"/>
        <v>0.69267922761540357</v>
      </c>
      <c r="AA35" s="199" t="s">
        <v>4392</v>
      </c>
      <c r="AB35" s="117">
        <v>3324.8</v>
      </c>
      <c r="AC35" s="218">
        <v>1011</v>
      </c>
      <c r="AD35" s="199">
        <f t="shared" si="8"/>
        <v>1459.5500481231952</v>
      </c>
      <c r="AE35" s="218">
        <f t="shared" si="2"/>
        <v>6.8514265837329731E-4</v>
      </c>
      <c r="AF35" s="99"/>
    </row>
    <row r="36" spans="1:32">
      <c r="B36" s="58"/>
      <c r="C36" s="58"/>
      <c r="D36" s="115"/>
      <c r="J36" s="218">
        <v>35</v>
      </c>
      <c r="K36" s="218" t="s">
        <v>4812</v>
      </c>
      <c r="L36" s="113">
        <v>4977171</v>
      </c>
      <c r="M36" s="218">
        <v>7.5</v>
      </c>
      <c r="N36" s="113">
        <f t="shared" si="7"/>
        <v>37328782.5</v>
      </c>
      <c r="O36" s="99" t="s">
        <v>452</v>
      </c>
      <c r="R36" s="96"/>
      <c r="W36" s="218" t="s">
        <v>4812</v>
      </c>
      <c r="X36" s="218" t="s">
        <v>1086</v>
      </c>
      <c r="Y36" s="113">
        <v>4852712</v>
      </c>
      <c r="Z36" s="218">
        <f t="shared" si="9"/>
        <v>13.047731721973198</v>
      </c>
      <c r="AA36" s="13" t="s">
        <v>4545</v>
      </c>
      <c r="AB36" s="117">
        <v>4176.3</v>
      </c>
      <c r="AC36" s="218">
        <v>15161</v>
      </c>
      <c r="AD36" s="13">
        <f t="shared" si="8"/>
        <v>1161.9644182649713</v>
      </c>
      <c r="AE36" s="218">
        <f t="shared" si="2"/>
        <v>8.6061155081941813E-4</v>
      </c>
      <c r="AF36" s="99"/>
    </row>
    <row r="37" spans="1:32">
      <c r="B37" t="s">
        <v>25</v>
      </c>
      <c r="J37" s="218"/>
      <c r="K37" s="218"/>
      <c r="L37" s="113"/>
      <c r="M37" s="218"/>
      <c r="N37" s="113"/>
      <c r="O37" s="99"/>
      <c r="W37" s="218" t="s">
        <v>4812</v>
      </c>
      <c r="X37" s="218" t="s">
        <v>1086</v>
      </c>
      <c r="Y37" s="113">
        <v>4852712</v>
      </c>
      <c r="Z37" s="218">
        <f t="shared" si="9"/>
        <v>3.1790291490613911</v>
      </c>
      <c r="AA37" s="227" t="s">
        <v>4411</v>
      </c>
      <c r="AB37" s="117">
        <v>525.1</v>
      </c>
      <c r="AC37" s="218">
        <v>29379</v>
      </c>
      <c r="AD37" s="227">
        <f t="shared" si="8"/>
        <v>9241.5006665397068</v>
      </c>
      <c r="AE37" s="218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8"/>
      <c r="K38" s="218"/>
      <c r="L38" s="113"/>
      <c r="M38" s="218"/>
      <c r="N38" s="113"/>
      <c r="O38" s="99"/>
      <c r="W38" s="218" t="s">
        <v>4822</v>
      </c>
      <c r="X38" s="218" t="s">
        <v>1086</v>
      </c>
      <c r="Y38" s="113">
        <v>4977171</v>
      </c>
      <c r="Z38" s="218">
        <f t="shared" si="9"/>
        <v>6.1346965173589574</v>
      </c>
      <c r="AA38" s="227" t="s">
        <v>4411</v>
      </c>
      <c r="AB38" s="117">
        <v>529.79999999999995</v>
      </c>
      <c r="AC38" s="218">
        <v>57632</v>
      </c>
      <c r="AD38" s="227">
        <f t="shared" si="8"/>
        <v>9394.4337485843716</v>
      </c>
      <c r="AE38" s="218">
        <f t="shared" si="2"/>
        <v>1.0644601119792749E-4</v>
      </c>
      <c r="AF38" s="99"/>
    </row>
    <row r="39" spans="1:32">
      <c r="J39" s="218"/>
      <c r="K39" s="218"/>
      <c r="L39" s="113"/>
      <c r="M39" s="218"/>
      <c r="N39" s="113"/>
      <c r="O39" s="99"/>
      <c r="W39" s="218" t="s">
        <v>4822</v>
      </c>
      <c r="X39" s="218" t="s">
        <v>1086</v>
      </c>
      <c r="Y39" s="113">
        <v>4977171</v>
      </c>
      <c r="Z39" s="218">
        <f t="shared" si="9"/>
        <v>1.084129920390519</v>
      </c>
      <c r="AA39" s="232" t="s">
        <v>4396</v>
      </c>
      <c r="AB39" s="117">
        <v>5395.9</v>
      </c>
      <c r="AC39" s="218">
        <v>1000</v>
      </c>
      <c r="AD39" s="232">
        <f t="shared" si="8"/>
        <v>922.39867306658766</v>
      </c>
      <c r="AE39" s="218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8" t="s">
        <v>4822</v>
      </c>
      <c r="X40" s="218" t="s">
        <v>1086</v>
      </c>
      <c r="Y40" s="113">
        <v>4977171</v>
      </c>
      <c r="Z40" s="218">
        <f t="shared" si="9"/>
        <v>7.7072195831728516</v>
      </c>
      <c r="AA40" s="227" t="s">
        <v>4392</v>
      </c>
      <c r="AB40" s="117">
        <v>3355.8</v>
      </c>
      <c r="AC40" s="218">
        <v>11431</v>
      </c>
      <c r="AD40" s="227">
        <f t="shared" si="8"/>
        <v>1483.1548364026462</v>
      </c>
      <c r="AE40" s="218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8" t="s">
        <v>4861</v>
      </c>
      <c r="X41" s="218" t="s">
        <v>4243</v>
      </c>
      <c r="Y41" s="113">
        <v>185.7</v>
      </c>
      <c r="Z41" s="218">
        <f t="shared" si="9"/>
        <v>9238.0484652665582</v>
      </c>
      <c r="AA41" s="218" t="s">
        <v>4296</v>
      </c>
      <c r="AB41" s="117">
        <v>303.2</v>
      </c>
      <c r="AC41" s="218">
        <v>5658</v>
      </c>
      <c r="AD41" s="218">
        <f t="shared" si="8"/>
        <v>0.61246701846965701</v>
      </c>
      <c r="AE41" s="218">
        <f t="shared" si="2"/>
        <v>1.6327409800753905</v>
      </c>
      <c r="AF41" s="99"/>
    </row>
    <row r="42" spans="1:32">
      <c r="A42" s="99" t="s">
        <v>180</v>
      </c>
      <c r="B42" s="99" t="s">
        <v>4747</v>
      </c>
      <c r="C42" s="99" t="s">
        <v>4748</v>
      </c>
      <c r="D42" s="99" t="s">
        <v>4749</v>
      </c>
      <c r="E42" s="69" t="s">
        <v>4750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8" t="s">
        <v>4868</v>
      </c>
      <c r="X42" s="218" t="s">
        <v>4411</v>
      </c>
      <c r="Y42" s="113">
        <v>538.79999999999995</v>
      </c>
      <c r="Z42" s="218">
        <f t="shared" si="9"/>
        <v>4989.5322939866373</v>
      </c>
      <c r="AA42" s="218" t="s">
        <v>4396</v>
      </c>
      <c r="AB42" s="117">
        <v>5160</v>
      </c>
      <c r="AC42" s="218">
        <v>521</v>
      </c>
      <c r="AD42" s="218">
        <f>Y42/AB42</f>
        <v>0.10441860465116279</v>
      </c>
      <c r="AE42" s="218">
        <f t="shared" si="2"/>
        <v>9.5768374164810695</v>
      </c>
      <c r="AF42" s="99"/>
    </row>
    <row r="43" spans="1:32">
      <c r="A43" s="99" t="s">
        <v>4685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18"/>
      <c r="X43" s="218"/>
      <c r="Y43" s="113"/>
      <c r="Z43" s="218"/>
      <c r="AA43" s="218"/>
      <c r="AB43" s="218"/>
      <c r="AC43" s="218"/>
      <c r="AD43" s="218"/>
      <c r="AE43" s="218"/>
      <c r="AF43" s="99"/>
    </row>
    <row r="44" spans="1:32">
      <c r="A44" s="99" t="s">
        <v>4695</v>
      </c>
      <c r="B44" s="95">
        <v>4100000</v>
      </c>
      <c r="C44" s="95">
        <v>4230000</v>
      </c>
      <c r="D44" s="95"/>
      <c r="E44" s="95"/>
      <c r="I44" s="41"/>
      <c r="M44" s="41" t="s">
        <v>4531</v>
      </c>
      <c r="N44" t="s">
        <v>25</v>
      </c>
      <c r="O44" s="228">
        <v>74657561</v>
      </c>
      <c r="R44" t="s">
        <v>25</v>
      </c>
      <c r="W44" s="218"/>
      <c r="X44" s="218"/>
      <c r="Y44" s="113"/>
      <c r="Z44" s="218"/>
      <c r="AA44" s="218"/>
      <c r="AB44" s="218"/>
      <c r="AC44" s="218"/>
      <c r="AD44" s="218"/>
      <c r="AE44" s="218"/>
      <c r="AF44" s="99" t="s">
        <v>25</v>
      </c>
    </row>
    <row r="45" spans="1:32">
      <c r="A45" s="99" t="s">
        <v>4699</v>
      </c>
      <c r="B45" s="95">
        <v>4230000</v>
      </c>
      <c r="C45" s="95">
        <v>4330000</v>
      </c>
      <c r="D45" s="95">
        <v>12200</v>
      </c>
      <c r="E45" s="95">
        <v>12350</v>
      </c>
      <c r="W45" s="218"/>
      <c r="X45" s="218"/>
      <c r="Y45" s="113"/>
      <c r="Z45" s="218"/>
      <c r="AA45" s="218"/>
      <c r="AB45" s="218"/>
      <c r="AC45" s="218"/>
      <c r="AD45" s="218"/>
      <c r="AE45" s="218"/>
      <c r="AF45" s="99"/>
    </row>
    <row r="46" spans="1:32">
      <c r="A46" s="99" t="s">
        <v>4724</v>
      </c>
      <c r="B46" s="95">
        <v>4270000</v>
      </c>
      <c r="C46" s="95">
        <v>4370000</v>
      </c>
      <c r="D46" s="95"/>
      <c r="E46" s="95"/>
      <c r="W46" s="218"/>
      <c r="X46" s="218"/>
      <c r="Y46" s="113"/>
      <c r="Z46" s="218"/>
      <c r="AA46" s="218"/>
      <c r="AB46" s="218"/>
      <c r="AC46" s="218"/>
      <c r="AD46" s="218"/>
      <c r="AE46" s="218"/>
      <c r="AF46" s="99"/>
    </row>
    <row r="47" spans="1:32">
      <c r="A47" s="99" t="s">
        <v>4738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8"/>
      <c r="X47" s="218"/>
      <c r="Y47" s="113"/>
      <c r="Z47" s="218"/>
      <c r="AA47" s="218"/>
      <c r="AB47" s="218"/>
      <c r="AC47" s="218"/>
      <c r="AD47" s="218"/>
      <c r="AE47" s="218"/>
      <c r="AF47" s="99"/>
    </row>
    <row r="48" spans="1:32">
      <c r="A48" s="99" t="s">
        <v>4741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168"/>
      <c r="X48" s="168"/>
      <c r="Y48" s="113"/>
      <c r="Z48" s="168"/>
      <c r="AA48" s="168"/>
      <c r="AB48" s="113"/>
      <c r="AC48" s="168"/>
      <c r="AD48" s="19"/>
      <c r="AE48" s="168"/>
      <c r="AF48" s="99"/>
    </row>
    <row r="49" spans="1:32">
      <c r="A49" s="99" t="s">
        <v>4745</v>
      </c>
      <c r="B49" s="95">
        <v>4170000</v>
      </c>
      <c r="C49" s="95">
        <v>4280000</v>
      </c>
      <c r="D49" s="95">
        <v>11750</v>
      </c>
      <c r="E49" s="95">
        <v>11900</v>
      </c>
      <c r="Z49" t="s">
        <v>25</v>
      </c>
      <c r="AC49" t="s">
        <v>25</v>
      </c>
    </row>
    <row r="50" spans="1:32">
      <c r="A50" s="99" t="s">
        <v>4751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A50" t="s">
        <v>25</v>
      </c>
      <c r="AB50" t="s">
        <v>25</v>
      </c>
    </row>
    <row r="51" spans="1:32">
      <c r="A51" s="99" t="s">
        <v>4753</v>
      </c>
      <c r="B51" s="95">
        <v>4100000</v>
      </c>
      <c r="C51" s="95">
        <v>4220000</v>
      </c>
      <c r="D51" s="95">
        <v>11800</v>
      </c>
      <c r="E51" s="95">
        <v>11980</v>
      </c>
      <c r="W51" s="96"/>
      <c r="X51" s="96"/>
      <c r="Y51" s="96"/>
      <c r="Z51" s="96"/>
      <c r="AA51" s="96"/>
      <c r="AB51" s="96"/>
      <c r="AC51" s="96"/>
      <c r="AD51" s="96"/>
      <c r="AF51" t="s">
        <v>25</v>
      </c>
    </row>
    <row r="52" spans="1:32">
      <c r="A52" s="99" t="s">
        <v>4755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4541</v>
      </c>
      <c r="L52" s="168" t="s">
        <v>1086</v>
      </c>
      <c r="M52" s="168" t="s">
        <v>4243</v>
      </c>
      <c r="N52" s="168" t="s">
        <v>4558</v>
      </c>
      <c r="O52" s="168"/>
      <c r="W52" s="96"/>
      <c r="X52" s="96"/>
      <c r="Y52" s="96"/>
      <c r="Z52" s="96"/>
      <c r="AA52" s="96"/>
      <c r="AB52" s="96"/>
      <c r="AC52" s="96"/>
      <c r="AD52" s="96"/>
    </row>
    <row r="53" spans="1:32">
      <c r="A53" s="99" t="s">
        <v>4758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4530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 t="s">
        <v>25</v>
      </c>
      <c r="AC53" s="96"/>
      <c r="AD53" s="96"/>
    </row>
    <row r="54" spans="1:32">
      <c r="A54" s="99" t="s">
        <v>4769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/>
      <c r="AC54" s="96"/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4783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4793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AA57" s="96"/>
      <c r="AB57" s="96"/>
      <c r="AC57" s="96"/>
      <c r="AD57" s="96"/>
    </row>
    <row r="58" spans="1:32">
      <c r="A58" s="99" t="s">
        <v>4802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 t="s">
        <v>25</v>
      </c>
    </row>
    <row r="59" spans="1:32">
      <c r="A59" s="99" t="s">
        <v>4810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 t="s">
        <v>25</v>
      </c>
      <c r="AD59" s="96"/>
    </row>
    <row r="60" spans="1:32">
      <c r="A60" s="99" t="s">
        <v>4812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/>
      <c r="AD60" s="96"/>
    </row>
    <row r="61" spans="1:32">
      <c r="A61" s="99" t="s">
        <v>4822</v>
      </c>
      <c r="B61" s="95">
        <v>4700000</v>
      </c>
      <c r="C61" s="95">
        <v>4850000</v>
      </c>
      <c r="D61" s="95">
        <v>13650</v>
      </c>
      <c r="E61" s="95">
        <v>13800</v>
      </c>
      <c r="W61" s="96"/>
      <c r="X61" s="96"/>
      <c r="Y61" s="96"/>
      <c r="Z61" s="96"/>
      <c r="AA61" s="96"/>
      <c r="AB61" s="96"/>
      <c r="AC61" s="96"/>
      <c r="AD61" s="96"/>
    </row>
    <row r="62" spans="1:32">
      <c r="A62" s="99" t="s">
        <v>4832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 t="s">
        <v>4673</v>
      </c>
      <c r="AA62" s="96"/>
      <c r="AB62" s="96"/>
      <c r="AC62" s="96"/>
      <c r="AD62" s="96"/>
    </row>
    <row r="63" spans="1:32">
      <c r="A63" s="99" t="s">
        <v>4844</v>
      </c>
      <c r="B63" s="95">
        <v>4580000</v>
      </c>
      <c r="C63" s="95">
        <v>4750000</v>
      </c>
      <c r="D63" s="95">
        <v>13350</v>
      </c>
      <c r="E63" s="95">
        <v>13500</v>
      </c>
      <c r="I63" s="218" t="s">
        <v>8</v>
      </c>
      <c r="J63" s="218" t="s">
        <v>4825</v>
      </c>
      <c r="K63" s="218" t="s">
        <v>180</v>
      </c>
      <c r="L63" s="231" t="s">
        <v>4823</v>
      </c>
      <c r="M63" s="231" t="s">
        <v>4824</v>
      </c>
      <c r="N63" s="218" t="s">
        <v>6</v>
      </c>
      <c r="O63" s="218" t="s">
        <v>4826</v>
      </c>
      <c r="P63" s="218" t="s">
        <v>4847</v>
      </c>
      <c r="W63" s="96"/>
      <c r="X63" s="96"/>
      <c r="Y63" s="96"/>
      <c r="Z63" s="96" t="s">
        <v>4674</v>
      </c>
      <c r="AA63" s="212">
        <v>35441</v>
      </c>
      <c r="AB63" s="96"/>
      <c r="AC63" s="96"/>
      <c r="AD63" s="96"/>
    </row>
    <row r="64" spans="1:32" ht="120">
      <c r="A64" s="99" t="s">
        <v>4856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8"/>
      <c r="J64" s="218"/>
      <c r="K64" s="218" t="s">
        <v>4755</v>
      </c>
      <c r="L64" s="84">
        <v>535989412</v>
      </c>
      <c r="M64" s="84"/>
      <c r="N64" s="218"/>
      <c r="O64" s="218"/>
      <c r="P64" s="218"/>
      <c r="W64" s="96"/>
      <c r="X64" s="22" t="s">
        <v>4677</v>
      </c>
      <c r="Y64" s="22" t="s">
        <v>4676</v>
      </c>
      <c r="Z64" s="22" t="s">
        <v>4675</v>
      </c>
      <c r="AA64" s="22" t="s">
        <v>4678</v>
      </c>
    </row>
    <row r="65" spans="1:17">
      <c r="A65" s="99" t="s">
        <v>4861</v>
      </c>
      <c r="B65" s="95">
        <v>4620000</v>
      </c>
      <c r="C65" s="95">
        <v>4770000</v>
      </c>
      <c r="D65" s="95">
        <v>13600</v>
      </c>
      <c r="E65" s="95">
        <v>13700</v>
      </c>
      <c r="I65" s="218"/>
      <c r="J65" s="113">
        <f>L65-L64</f>
        <v>12939932</v>
      </c>
      <c r="K65" s="218" t="s">
        <v>4793</v>
      </c>
      <c r="L65" s="84">
        <v>548929344</v>
      </c>
      <c r="M65" s="84"/>
      <c r="N65" s="218"/>
      <c r="O65" s="218"/>
      <c r="P65" s="218"/>
    </row>
    <row r="66" spans="1:17">
      <c r="A66" s="99" t="s">
        <v>4867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8"/>
      <c r="J66" s="113">
        <f t="shared" ref="J66:J90" si="10">L66-L65</f>
        <v>11531981</v>
      </c>
      <c r="K66" s="218" t="s">
        <v>4802</v>
      </c>
      <c r="L66" s="84">
        <v>560461325</v>
      </c>
      <c r="M66" s="84"/>
      <c r="N66" s="218"/>
      <c r="O66" s="218"/>
      <c r="P66" s="218"/>
    </row>
    <row r="67" spans="1:17">
      <c r="A67" s="99" t="s">
        <v>4868</v>
      </c>
      <c r="B67" s="95">
        <v>4250000</v>
      </c>
      <c r="C67" s="95">
        <v>4450000</v>
      </c>
      <c r="D67" s="95">
        <v>12750</v>
      </c>
      <c r="E67" s="95">
        <v>12900</v>
      </c>
      <c r="I67" s="218"/>
      <c r="J67" s="113">
        <f t="shared" si="10"/>
        <v>17387769</v>
      </c>
      <c r="K67" s="218" t="s">
        <v>4810</v>
      </c>
      <c r="L67" s="84">
        <v>577849094</v>
      </c>
      <c r="M67" s="84"/>
      <c r="N67" s="218"/>
      <c r="O67" s="218"/>
      <c r="P67" s="218"/>
    </row>
    <row r="68" spans="1:17">
      <c r="A68" s="99"/>
      <c r="B68" s="95"/>
      <c r="C68" s="95"/>
      <c r="D68" s="95"/>
      <c r="E68" s="95"/>
      <c r="I68" s="218"/>
      <c r="J68" s="113">
        <f t="shared" si="10"/>
        <v>11024486</v>
      </c>
      <c r="K68" s="218" t="s">
        <v>4812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218"/>
      <c r="J69" s="113">
        <f t="shared" si="10"/>
        <v>-8942851</v>
      </c>
      <c r="K69" s="218" t="s">
        <v>4822</v>
      </c>
      <c r="L69" s="235">
        <v>579930729</v>
      </c>
      <c r="M69" s="84">
        <v>247714729</v>
      </c>
      <c r="N69" s="113">
        <f t="shared" ref="N69:N90" si="11">L69+M69</f>
        <v>827645458</v>
      </c>
      <c r="O69" s="113">
        <f t="shared" ref="O69:O90" si="12">M69-M68</f>
        <v>-2541194</v>
      </c>
      <c r="P69" s="113">
        <f t="shared" ref="P69:P90" si="13">N69-N68</f>
        <v>-11484045</v>
      </c>
    </row>
    <row r="70" spans="1:17">
      <c r="A70" s="99"/>
      <c r="B70" s="95"/>
      <c r="C70" s="95"/>
      <c r="D70" s="95"/>
      <c r="E70" s="95"/>
      <c r="I70" s="218" t="s">
        <v>4843</v>
      </c>
      <c r="J70" s="113">
        <f t="shared" si="10"/>
        <v>45893629</v>
      </c>
      <c r="K70" s="218" t="s">
        <v>4832</v>
      </c>
      <c r="L70" s="84">
        <v>625824358</v>
      </c>
      <c r="M70" s="84">
        <v>243028777</v>
      </c>
      <c r="N70" s="113">
        <f t="shared" si="11"/>
        <v>868853135</v>
      </c>
      <c r="O70" s="113">
        <f t="shared" si="12"/>
        <v>-4685952</v>
      </c>
      <c r="P70" s="113">
        <f t="shared" si="13"/>
        <v>41207677</v>
      </c>
    </row>
    <row r="71" spans="1:17">
      <c r="A71" s="99"/>
      <c r="B71" s="95"/>
      <c r="C71" s="95"/>
      <c r="D71" s="95"/>
      <c r="E71" s="95"/>
      <c r="I71" s="218"/>
      <c r="J71" s="113">
        <f t="shared" si="10"/>
        <v>3462014</v>
      </c>
      <c r="K71" s="218" t="s">
        <v>4844</v>
      </c>
      <c r="L71" s="84">
        <v>629286372</v>
      </c>
      <c r="M71" s="84">
        <v>246690884</v>
      </c>
      <c r="N71" s="113">
        <f t="shared" si="11"/>
        <v>875977256</v>
      </c>
      <c r="O71" s="113">
        <f t="shared" si="12"/>
        <v>3662107</v>
      </c>
      <c r="P71" s="113">
        <f t="shared" si="13"/>
        <v>7124121</v>
      </c>
    </row>
    <row r="72" spans="1:17">
      <c r="A72" s="99"/>
      <c r="B72" s="95"/>
      <c r="C72" s="95"/>
      <c r="D72" s="95"/>
      <c r="E72" s="95"/>
      <c r="I72" s="218"/>
      <c r="J72" s="113">
        <f t="shared" si="10"/>
        <v>-2687296</v>
      </c>
      <c r="K72" s="218" t="s">
        <v>4861</v>
      </c>
      <c r="L72" s="84">
        <v>626599076</v>
      </c>
      <c r="M72" s="84">
        <v>244530128</v>
      </c>
      <c r="N72" s="113">
        <f t="shared" si="11"/>
        <v>871129204</v>
      </c>
      <c r="O72" s="113">
        <f t="shared" si="12"/>
        <v>-2160756</v>
      </c>
      <c r="P72" s="113">
        <f t="shared" si="13"/>
        <v>-4848052</v>
      </c>
    </row>
    <row r="73" spans="1:17">
      <c r="I73" s="218"/>
      <c r="J73" s="113">
        <f t="shared" si="10"/>
        <v>-6009466</v>
      </c>
      <c r="K73" s="218" t="s">
        <v>4867</v>
      </c>
      <c r="L73" s="84">
        <v>620589610</v>
      </c>
      <c r="M73" s="84">
        <v>242967684</v>
      </c>
      <c r="N73" s="113">
        <f t="shared" si="11"/>
        <v>863557294</v>
      </c>
      <c r="O73" s="113">
        <f t="shared" si="12"/>
        <v>-1562444</v>
      </c>
      <c r="P73" s="113">
        <f t="shared" si="13"/>
        <v>-7571910</v>
      </c>
    </row>
    <row r="74" spans="1:17">
      <c r="I74" s="218"/>
      <c r="J74" s="113">
        <f t="shared" si="10"/>
        <v>-1273071</v>
      </c>
      <c r="K74" s="218" t="s">
        <v>4868</v>
      </c>
      <c r="L74" s="84">
        <v>619316539</v>
      </c>
      <c r="M74" s="84">
        <v>242985726</v>
      </c>
      <c r="N74" s="113">
        <f t="shared" si="11"/>
        <v>862302265</v>
      </c>
      <c r="O74" s="113">
        <f t="shared" si="12"/>
        <v>18042</v>
      </c>
      <c r="P74" s="113">
        <f t="shared" si="13"/>
        <v>-1255029</v>
      </c>
    </row>
    <row r="75" spans="1:17">
      <c r="D75" s="114">
        <f>B67-B47+L19</f>
        <v>4561628</v>
      </c>
      <c r="I75" s="218"/>
      <c r="J75" s="113">
        <f t="shared" si="10"/>
        <v>-619316539</v>
      </c>
      <c r="K75" s="218"/>
      <c r="L75" s="84">
        <v>0</v>
      </c>
      <c r="M75" s="84"/>
      <c r="N75" s="113">
        <f t="shared" si="11"/>
        <v>0</v>
      </c>
      <c r="O75" s="113">
        <f t="shared" si="12"/>
        <v>-242985726</v>
      </c>
      <c r="P75" s="113">
        <f t="shared" si="13"/>
        <v>-862302265</v>
      </c>
    </row>
    <row r="76" spans="1:17">
      <c r="B76" t="s">
        <v>25</v>
      </c>
      <c r="I76" s="218"/>
      <c r="J76" s="113">
        <f t="shared" si="10"/>
        <v>0</v>
      </c>
      <c r="K76" s="218"/>
      <c r="L76" s="84"/>
      <c r="M76" s="84"/>
      <c r="N76" s="113">
        <f t="shared" si="11"/>
        <v>0</v>
      </c>
      <c r="O76" s="113">
        <f t="shared" si="12"/>
        <v>0</v>
      </c>
      <c r="P76" s="113">
        <f t="shared" si="13"/>
        <v>0</v>
      </c>
    </row>
    <row r="77" spans="1:17">
      <c r="I77" s="218"/>
      <c r="J77" s="113">
        <f t="shared" si="10"/>
        <v>0</v>
      </c>
      <c r="K77" s="218"/>
      <c r="L77" s="84"/>
      <c r="M77" s="84"/>
      <c r="N77" s="113">
        <f t="shared" si="11"/>
        <v>0</v>
      </c>
      <c r="O77" s="113">
        <f t="shared" si="12"/>
        <v>0</v>
      </c>
      <c r="P77" s="113">
        <f t="shared" si="13"/>
        <v>0</v>
      </c>
    </row>
    <row r="78" spans="1:17">
      <c r="E78" t="s">
        <v>25</v>
      </c>
      <c r="F78" t="s">
        <v>25</v>
      </c>
      <c r="I78" s="218"/>
      <c r="J78" s="113">
        <f t="shared" si="10"/>
        <v>0</v>
      </c>
      <c r="K78" s="218"/>
      <c r="L78" s="84"/>
      <c r="M78" s="84"/>
      <c r="N78" s="113">
        <f t="shared" si="11"/>
        <v>0</v>
      </c>
      <c r="O78" s="113">
        <f t="shared" si="12"/>
        <v>0</v>
      </c>
      <c r="P78" s="113">
        <f t="shared" si="13"/>
        <v>0</v>
      </c>
    </row>
    <row r="79" spans="1:17">
      <c r="I79" s="218"/>
      <c r="J79" s="113">
        <f t="shared" si="10"/>
        <v>0</v>
      </c>
      <c r="K79" s="218"/>
      <c r="L79" s="84"/>
      <c r="M79" s="84"/>
      <c r="N79" s="113">
        <f t="shared" si="11"/>
        <v>0</v>
      </c>
      <c r="O79" s="113">
        <f t="shared" si="12"/>
        <v>0</v>
      </c>
      <c r="P79" s="113">
        <f t="shared" si="13"/>
        <v>0</v>
      </c>
    </row>
    <row r="80" spans="1:17">
      <c r="I80" s="218"/>
      <c r="J80" s="113">
        <f t="shared" si="10"/>
        <v>0</v>
      </c>
      <c r="K80" s="218"/>
      <c r="L80" s="84"/>
      <c r="M80" s="84"/>
      <c r="N80" s="113">
        <f t="shared" si="11"/>
        <v>0</v>
      </c>
      <c r="O80" s="113">
        <f t="shared" si="12"/>
        <v>0</v>
      </c>
      <c r="P80" s="113">
        <f t="shared" si="13"/>
        <v>0</v>
      </c>
    </row>
    <row r="81" spans="9:16">
      <c r="I81" s="218"/>
      <c r="J81" s="113">
        <f t="shared" si="10"/>
        <v>0</v>
      </c>
      <c r="K81" s="218"/>
      <c r="L81" s="84"/>
      <c r="M81" s="84"/>
      <c r="N81" s="113">
        <f t="shared" si="11"/>
        <v>0</v>
      </c>
      <c r="O81" s="113">
        <f t="shared" si="12"/>
        <v>0</v>
      </c>
      <c r="P81" s="113">
        <f t="shared" si="13"/>
        <v>0</v>
      </c>
    </row>
    <row r="82" spans="9:16">
      <c r="I82" s="218"/>
      <c r="J82" s="113">
        <f t="shared" si="10"/>
        <v>0</v>
      </c>
      <c r="K82" s="218"/>
      <c r="L82" s="84"/>
      <c r="M82" s="84"/>
      <c r="N82" s="113">
        <f t="shared" si="11"/>
        <v>0</v>
      </c>
      <c r="O82" s="113">
        <f t="shared" si="12"/>
        <v>0</v>
      </c>
      <c r="P82" s="113">
        <f t="shared" si="13"/>
        <v>0</v>
      </c>
    </row>
    <row r="83" spans="9:16">
      <c r="I83" s="218"/>
      <c r="J83" s="113">
        <f t="shared" si="10"/>
        <v>0</v>
      </c>
      <c r="K83" s="218"/>
      <c r="L83" s="84"/>
      <c r="M83" s="84"/>
      <c r="N83" s="113">
        <f t="shared" si="11"/>
        <v>0</v>
      </c>
      <c r="O83" s="113">
        <f t="shared" si="12"/>
        <v>0</v>
      </c>
      <c r="P83" s="113">
        <f t="shared" si="13"/>
        <v>0</v>
      </c>
    </row>
    <row r="84" spans="9:16">
      <c r="I84" s="218"/>
      <c r="J84" s="113">
        <f t="shared" si="10"/>
        <v>0</v>
      </c>
      <c r="K84" s="218"/>
      <c r="L84" s="84"/>
      <c r="M84" s="84"/>
      <c r="N84" s="113">
        <f t="shared" si="11"/>
        <v>0</v>
      </c>
      <c r="O84" s="113">
        <f t="shared" si="12"/>
        <v>0</v>
      </c>
      <c r="P84" s="113">
        <f t="shared" si="13"/>
        <v>0</v>
      </c>
    </row>
    <row r="85" spans="9:16">
      <c r="I85" s="218"/>
      <c r="J85" s="113">
        <f t="shared" si="10"/>
        <v>0</v>
      </c>
      <c r="K85" s="218"/>
      <c r="L85" s="84"/>
      <c r="M85" s="84"/>
      <c r="N85" s="113">
        <f t="shared" si="11"/>
        <v>0</v>
      </c>
      <c r="O85" s="113">
        <f t="shared" si="12"/>
        <v>0</v>
      </c>
      <c r="P85" s="113">
        <f t="shared" si="13"/>
        <v>0</v>
      </c>
    </row>
    <row r="86" spans="9:16">
      <c r="I86" s="218"/>
      <c r="J86" s="113">
        <f t="shared" si="10"/>
        <v>0</v>
      </c>
      <c r="K86" s="218"/>
      <c r="L86" s="84"/>
      <c r="M86" s="84"/>
      <c r="N86" s="113">
        <f t="shared" si="11"/>
        <v>0</v>
      </c>
      <c r="O86" s="113">
        <f t="shared" si="12"/>
        <v>0</v>
      </c>
      <c r="P86" s="113">
        <f t="shared" si="13"/>
        <v>0</v>
      </c>
    </row>
    <row r="87" spans="9:16">
      <c r="I87" s="218"/>
      <c r="J87" s="113">
        <f t="shared" si="10"/>
        <v>0</v>
      </c>
      <c r="K87" s="218"/>
      <c r="L87" s="84"/>
      <c r="M87" s="84"/>
      <c r="N87" s="113">
        <f t="shared" si="11"/>
        <v>0</v>
      </c>
      <c r="O87" s="113">
        <f t="shared" si="12"/>
        <v>0</v>
      </c>
      <c r="P87" s="113">
        <f t="shared" si="13"/>
        <v>0</v>
      </c>
    </row>
    <row r="88" spans="9:16">
      <c r="I88" s="218" t="s">
        <v>25</v>
      </c>
      <c r="J88" s="113">
        <f t="shared" si="10"/>
        <v>0</v>
      </c>
      <c r="K88" s="218"/>
      <c r="L88" s="84"/>
      <c r="M88" s="84"/>
      <c r="N88" s="113">
        <f t="shared" si="11"/>
        <v>0</v>
      </c>
      <c r="O88" s="113">
        <f t="shared" si="12"/>
        <v>0</v>
      </c>
      <c r="P88" s="113">
        <f t="shared" si="13"/>
        <v>0</v>
      </c>
    </row>
    <row r="89" spans="9:16">
      <c r="I89" s="218"/>
      <c r="J89" s="113">
        <f t="shared" si="10"/>
        <v>0</v>
      </c>
      <c r="K89" s="218"/>
      <c r="L89" s="84"/>
      <c r="M89" s="84"/>
      <c r="N89" s="113">
        <f t="shared" si="11"/>
        <v>0</v>
      </c>
      <c r="O89" s="113">
        <f t="shared" si="12"/>
        <v>0</v>
      </c>
      <c r="P89" s="113">
        <f t="shared" si="13"/>
        <v>0</v>
      </c>
    </row>
    <row r="90" spans="9:16">
      <c r="I90" s="218"/>
      <c r="J90" s="113">
        <f t="shared" si="10"/>
        <v>0</v>
      </c>
      <c r="K90" s="218"/>
      <c r="L90" s="84"/>
      <c r="M90" s="84"/>
      <c r="N90" s="113">
        <f t="shared" si="11"/>
        <v>0</v>
      </c>
      <c r="O90" s="113">
        <f t="shared" si="12"/>
        <v>0</v>
      </c>
      <c r="P90" s="113">
        <f t="shared" si="13"/>
        <v>0</v>
      </c>
    </row>
    <row r="91" spans="9:16">
      <c r="I91" s="218"/>
      <c r="J91" s="113">
        <f>L91-L75</f>
        <v>0</v>
      </c>
      <c r="K91" s="218"/>
      <c r="L91" s="84">
        <v>0</v>
      </c>
      <c r="M91" s="84"/>
      <c r="N91" s="218"/>
      <c r="O91" s="113">
        <f>M91-M75</f>
        <v>0</v>
      </c>
      <c r="P91" s="113">
        <f>N91-N75</f>
        <v>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4437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4548</v>
      </c>
      <c r="Z2" s="99" t="s">
        <v>4611</v>
      </c>
      <c r="AA2" s="99" t="s">
        <v>4609</v>
      </c>
      <c r="AB2" s="99" t="s">
        <v>4610</v>
      </c>
      <c r="AC2" s="99" t="s">
        <v>4613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4612</v>
      </c>
      <c r="Z4" s="99">
        <v>1</v>
      </c>
      <c r="AA4" s="99">
        <v>1</v>
      </c>
      <c r="AB4" s="99">
        <f t="shared" si="0"/>
        <v>1</v>
      </c>
      <c r="AC4" s="99" t="s">
        <v>4614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4597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2019-03-04T14:50:20Z</dcterms:modified>
</cp:coreProperties>
</file>