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6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</sheets>
  <calcPr calcId="145621"/>
</workbook>
</file>

<file path=xl/calcChain.xml><?xml version="1.0" encoding="utf-8"?>
<calcChain xmlns="http://schemas.openxmlformats.org/spreadsheetml/2006/main">
  <c r="AD25" i="52" l="1"/>
  <c r="AD24" i="52"/>
  <c r="AD23" i="52"/>
  <c r="AD22" i="52"/>
  <c r="AD21" i="52"/>
  <c r="Z22" i="52"/>
  <c r="Z21" i="52"/>
  <c r="AE22" i="52"/>
  <c r="AE21" i="52"/>
  <c r="N20" i="52"/>
  <c r="V113" i="18"/>
  <c r="W113" i="18" s="1"/>
  <c r="V112" i="18"/>
  <c r="W112" i="18"/>
  <c r="X112" i="18"/>
  <c r="S113" i="18"/>
  <c r="S112" i="18"/>
  <c r="X113" i="18" l="1"/>
  <c r="D304" i="20"/>
  <c r="R203" i="18"/>
  <c r="R187" i="18"/>
  <c r="W165" i="18"/>
  <c r="W164" i="18"/>
  <c r="AD20" i="52"/>
  <c r="Z20" i="52"/>
  <c r="AE20" i="52"/>
  <c r="AD19" i="52"/>
  <c r="Z19" i="52"/>
  <c r="AE19" i="52"/>
  <c r="M27" i="52"/>
  <c r="M26" i="52"/>
  <c r="L26" i="52"/>
  <c r="M20" i="52"/>
  <c r="N17" i="52"/>
  <c r="N16" i="52"/>
  <c r="AJ140" i="18"/>
  <c r="L106" i="18"/>
  <c r="K113" i="18" l="1"/>
  <c r="M114" i="18"/>
  <c r="L107" i="18"/>
  <c r="L108" i="18"/>
  <c r="L109" i="18"/>
  <c r="L110" i="18"/>
  <c r="L111" i="18"/>
  <c r="L112" i="18"/>
  <c r="W163" i="18" l="1"/>
  <c r="W162" i="18"/>
  <c r="D303" i="20"/>
  <c r="D302" i="20"/>
  <c r="R167" i="18"/>
  <c r="W161" i="18"/>
  <c r="D301" i="20" l="1"/>
  <c r="D300" i="20"/>
  <c r="D299" i="20"/>
  <c r="Z18" i="52" l="1"/>
  <c r="AD18" i="52"/>
  <c r="AE18" i="52"/>
  <c r="P29" i="18"/>
  <c r="P28" i="18"/>
  <c r="P27" i="18"/>
  <c r="P24" i="18"/>
  <c r="P23" i="18"/>
  <c r="P22" i="18"/>
  <c r="P21" i="18"/>
  <c r="D298" i="20"/>
  <c r="I305" i="20" l="1"/>
  <c r="J305" i="20"/>
  <c r="K305" i="20"/>
  <c r="I306" i="20"/>
  <c r="J306" i="20"/>
  <c r="K306" i="20"/>
  <c r="I307" i="20"/>
  <c r="J307" i="20"/>
  <c r="K307" i="20"/>
  <c r="I308" i="20"/>
  <c r="J308" i="20"/>
  <c r="K308" i="20"/>
  <c r="I309" i="20"/>
  <c r="J309" i="20"/>
  <c r="K309" i="20"/>
  <c r="I310" i="20"/>
  <c r="J310" i="20"/>
  <c r="K310" i="20"/>
  <c r="I311" i="20"/>
  <c r="J311" i="20"/>
  <c r="K311" i="20"/>
  <c r="I312" i="20"/>
  <c r="J312" i="20"/>
  <c r="K312" i="20"/>
  <c r="H297" i="20"/>
  <c r="H298" i="20"/>
  <c r="H299" i="20"/>
  <c r="H300" i="20"/>
  <c r="H301" i="20"/>
  <c r="H302" i="20"/>
  <c r="H303" i="20"/>
  <c r="H304" i="20"/>
  <c r="I304" i="20" s="1"/>
  <c r="H305" i="20"/>
  <c r="H306" i="20"/>
  <c r="H307" i="20"/>
  <c r="H308" i="20"/>
  <c r="H309" i="20"/>
  <c r="H310" i="20"/>
  <c r="H311" i="20"/>
  <c r="H312" i="20"/>
  <c r="G312" i="20"/>
  <c r="G311" i="20" s="1"/>
  <c r="G310" i="20" s="1"/>
  <c r="G309" i="20" s="1"/>
  <c r="G308" i="20" s="1"/>
  <c r="G307" i="20" s="1"/>
  <c r="G306" i="20" s="1"/>
  <c r="G305" i="20" s="1"/>
  <c r="G304" i="20" s="1"/>
  <c r="G303" i="20" s="1"/>
  <c r="G302" i="20" s="1"/>
  <c r="G301" i="20" s="1"/>
  <c r="G300" i="20" s="1"/>
  <c r="G299" i="20" s="1"/>
  <c r="G298" i="20" s="1"/>
  <c r="G297" i="20" s="1"/>
  <c r="I297" i="20" s="1"/>
  <c r="D314" i="20"/>
  <c r="C314" i="20"/>
  <c r="B314" i="20"/>
  <c r="D297" i="20"/>
  <c r="K304" i="20" l="1"/>
  <c r="J304" i="20"/>
  <c r="I303" i="20"/>
  <c r="J303" i="20"/>
  <c r="K303" i="20"/>
  <c r="I302" i="20"/>
  <c r="K302" i="20"/>
  <c r="J302" i="20"/>
  <c r="I301" i="20"/>
  <c r="J300" i="20"/>
  <c r="J301" i="20"/>
  <c r="K301" i="20"/>
  <c r="I300" i="20"/>
  <c r="I299" i="20"/>
  <c r="K300" i="20"/>
  <c r="J299" i="20"/>
  <c r="K299" i="20"/>
  <c r="K298" i="20"/>
  <c r="J298" i="20"/>
  <c r="J297" i="20"/>
  <c r="K297" i="20"/>
  <c r="I298" i="20"/>
  <c r="W159" i="18"/>
  <c r="U168" i="18"/>
  <c r="N54" i="18"/>
  <c r="N48" i="18"/>
  <c r="M111" i="18" l="1"/>
  <c r="N111" i="18" s="1"/>
  <c r="N28" i="18"/>
  <c r="N23" i="18"/>
  <c r="N53" i="18"/>
  <c r="AD17" i="52"/>
  <c r="AE17" i="52"/>
  <c r="AD16" i="52"/>
  <c r="AE16" i="52"/>
  <c r="Z17" i="52"/>
  <c r="D296" i="20"/>
  <c r="D295" i="20"/>
  <c r="W158" i="18" l="1"/>
  <c r="W157" i="18"/>
  <c r="L11" i="52"/>
  <c r="L10" i="52"/>
  <c r="AJ189" i="18"/>
  <c r="AL187" i="18"/>
  <c r="AL186" i="18" s="1"/>
  <c r="AL185" i="18" s="1"/>
  <c r="AL184" i="18" s="1"/>
  <c r="AL183" i="18" s="1"/>
  <c r="C2" i="55"/>
  <c r="B2" i="55"/>
  <c r="D57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H2" i="55"/>
  <c r="C32" i="55"/>
  <c r="B32" i="55"/>
  <c r="AD11" i="52"/>
  <c r="AD12" i="52"/>
  <c r="AD13" i="52"/>
  <c r="AD14" i="52"/>
  <c r="AD15" i="52"/>
  <c r="AD10" i="52"/>
  <c r="Z7" i="52"/>
  <c r="Z8" i="52"/>
  <c r="Z9" i="52"/>
  <c r="Z10" i="52"/>
  <c r="Z11" i="52"/>
  <c r="Z12" i="52"/>
  <c r="Z13" i="52"/>
  <c r="Z14" i="52"/>
  <c r="Z15" i="52"/>
  <c r="Z16" i="52"/>
  <c r="Z6" i="52"/>
  <c r="AE15" i="52"/>
  <c r="AE14" i="52"/>
  <c r="AE13" i="52"/>
  <c r="AE12" i="52"/>
  <c r="AE11" i="52"/>
  <c r="AE10" i="52"/>
  <c r="AD9" i="52"/>
  <c r="AE9" i="52"/>
  <c r="AD8" i="52"/>
  <c r="AE8" i="52"/>
  <c r="AD7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AM186" i="18" l="1"/>
  <c r="AM185" i="18"/>
  <c r="AM184" i="18"/>
  <c r="AM187" i="18"/>
  <c r="H33" i="55"/>
  <c r="G2" i="55"/>
  <c r="G33" i="55" s="1"/>
  <c r="D2" i="55"/>
  <c r="W156" i="18"/>
  <c r="W155" i="18"/>
  <c r="H38" i="55" l="1"/>
  <c r="I2" i="55"/>
  <c r="I33" i="55" s="1"/>
  <c r="I38" i="55" s="1"/>
  <c r="D32" i="55"/>
  <c r="D293" i="20"/>
  <c r="W154" i="18" l="1"/>
  <c r="N50" i="18"/>
  <c r="N57" i="18"/>
  <c r="N56" i="18"/>
  <c r="N46" i="18"/>
  <c r="N52" i="18"/>
  <c r="M110" i="18" l="1"/>
  <c r="N110" i="18" s="1"/>
  <c r="D292" i="20"/>
  <c r="C8" i="36"/>
  <c r="W153" i="18"/>
  <c r="N5" i="52"/>
  <c r="N51" i="18" l="1"/>
  <c r="N44" i="18"/>
  <c r="D291" i="20"/>
  <c r="D290" i="20" l="1"/>
  <c r="D289" i="20" l="1"/>
  <c r="N27" i="18" l="1"/>
  <c r="AL182" i="18"/>
  <c r="AL181" i="18" s="1"/>
  <c r="D288" i="20"/>
  <c r="AM183" i="18" l="1"/>
  <c r="AM182" i="18"/>
  <c r="AD4" i="52"/>
  <c r="D287" i="20" l="1"/>
  <c r="D286" i="20"/>
  <c r="F15" i="52"/>
  <c r="AB3" i="49" l="1"/>
  <c r="AB4" i="49"/>
  <c r="AB5" i="49"/>
  <c r="D285" i="20" l="1"/>
  <c r="W152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4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23" i="18"/>
  <c r="D281" i="20" l="1"/>
  <c r="D280" i="20" l="1"/>
  <c r="AD5" i="52" l="1"/>
  <c r="B38" i="52"/>
  <c r="D279" i="20"/>
  <c r="W128" i="18" l="1"/>
  <c r="W151" i="18"/>
  <c r="D278" i="20"/>
  <c r="W130" i="18" l="1"/>
  <c r="W129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23" i="18"/>
  <c r="AR14" i="18"/>
  <c r="S122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9" i="18"/>
  <c r="D272" i="20" l="1"/>
  <c r="D271" i="20" l="1"/>
  <c r="AL139" i="18"/>
  <c r="AL138" i="18" s="1"/>
  <c r="AL137" i="18" l="1"/>
  <c r="AM138" i="18"/>
  <c r="AM139" i="18"/>
  <c r="D270" i="20"/>
  <c r="N43" i="18"/>
  <c r="AL136" i="18" l="1"/>
  <c r="AM137" i="18"/>
  <c r="H270" i="20"/>
  <c r="H271" i="20"/>
  <c r="H272" i="20"/>
  <c r="D269" i="20"/>
  <c r="H269" i="20"/>
  <c r="AL135" i="18" l="1"/>
  <c r="AM136" i="18"/>
  <c r="S59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32" i="52"/>
  <c r="AD3" i="52"/>
  <c r="AD2" i="52"/>
  <c r="AL131" i="18" l="1"/>
  <c r="AM132" i="18"/>
  <c r="H38" i="54"/>
  <c r="I2" i="54"/>
  <c r="I33" i="54" s="1"/>
  <c r="I38" i="54" s="1"/>
  <c r="D32" i="54"/>
  <c r="N121" i="18"/>
  <c r="N122" i="18"/>
  <c r="N123" i="18"/>
  <c r="N124" i="18"/>
  <c r="N125" i="18"/>
  <c r="N126" i="18"/>
  <c r="N127" i="18"/>
  <c r="N128" i="18"/>
  <c r="N120" i="18"/>
  <c r="AM131" i="18" l="1"/>
  <c r="AL130" i="18"/>
  <c r="N4" i="52"/>
  <c r="N3" i="52"/>
  <c r="N2" i="52"/>
  <c r="AL129" i="18" l="1"/>
  <c r="AM130" i="18"/>
  <c r="M22" i="52"/>
  <c r="AL128" i="18" l="1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50" i="18"/>
  <c r="N3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49" i="18"/>
  <c r="AM124" i="18" l="1"/>
  <c r="AL123" i="18"/>
  <c r="AM123" i="18" l="1"/>
  <c r="AL122" i="18"/>
  <c r="L34" i="18"/>
  <c r="AL121" i="18" l="1"/>
  <c r="AM122" i="18"/>
  <c r="W143" i="18"/>
  <c r="W144" i="18"/>
  <c r="W145" i="18"/>
  <c r="W146" i="18"/>
  <c r="W147" i="18"/>
  <c r="W148" i="18"/>
  <c r="W160" i="18"/>
  <c r="W142" i="18"/>
  <c r="AM121" i="18" l="1"/>
  <c r="AL120" i="18"/>
  <c r="N59" i="18"/>
  <c r="AM120" i="18" l="1"/>
  <c r="AL119" i="18"/>
  <c r="T184" i="18"/>
  <c r="AM119" i="18" l="1"/>
  <c r="AL118" i="18"/>
  <c r="T126" i="18"/>
  <c r="S41" i="18"/>
  <c r="S42" i="18" s="1"/>
  <c r="S43" i="18" s="1"/>
  <c r="R147" i="18"/>
  <c r="R146" i="18"/>
  <c r="R145" i="18"/>
  <c r="D57" i="51"/>
  <c r="AL117" i="18" l="1"/>
  <c r="AM118" i="18"/>
  <c r="S44" i="18"/>
  <c r="S45" i="18" s="1"/>
  <c r="AM117" i="18" l="1"/>
  <c r="AL116" i="18"/>
  <c r="S46" i="18"/>
  <c r="S47" i="18" s="1"/>
  <c r="S48" i="18" s="1"/>
  <c r="N29" i="18"/>
  <c r="AL115" i="18" l="1"/>
  <c r="AM116" i="18"/>
  <c r="Q50" i="18"/>
  <c r="R144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7" i="18"/>
  <c r="AM112" i="18" l="1"/>
  <c r="AL111" i="18"/>
  <c r="M109" i="18"/>
  <c r="N109" i="18" s="1"/>
  <c r="D108" i="50"/>
  <c r="AL110" i="18" l="1"/>
  <c r="AM111" i="18"/>
  <c r="N45" i="18"/>
  <c r="AL109" i="18" l="1"/>
  <c r="AM110" i="18"/>
  <c r="N42" i="18"/>
  <c r="M108" i="18" l="1"/>
  <c r="N108" i="18" s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S23" i="18" s="1"/>
  <c r="S24" i="18" s="1"/>
  <c r="S25" i="18" s="1"/>
  <c r="N22" i="18"/>
  <c r="N55" i="18"/>
  <c r="AL104" i="18" l="1"/>
  <c r="AM105" i="18"/>
  <c r="M112" i="18"/>
  <c r="N112" i="18" s="1"/>
  <c r="AL180" i="18"/>
  <c r="AM181" i="18"/>
  <c r="AL103" i="18" l="1"/>
  <c r="AM104" i="18"/>
  <c r="AL179" i="18"/>
  <c r="AM180" i="18"/>
  <c r="AL102" i="18" l="1"/>
  <c r="AM103" i="18"/>
  <c r="AL178" i="18"/>
  <c r="AM179" i="18"/>
  <c r="S26" i="18"/>
  <c r="S27" i="18" s="1"/>
  <c r="S28" i="18" s="1"/>
  <c r="S29" i="18" s="1"/>
  <c r="N84" i="18"/>
  <c r="AL101" i="18" l="1"/>
  <c r="AM102" i="18"/>
  <c r="AL177" i="18"/>
  <c r="AM178" i="18"/>
  <c r="S30" i="18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01" i="18" l="1"/>
  <c r="AL100" i="18"/>
  <c r="S33" i="18"/>
  <c r="S34" i="18" s="1"/>
  <c r="AM177" i="18"/>
  <c r="AL176" i="18"/>
  <c r="D73" i="48"/>
  <c r="N24" i="18"/>
  <c r="AL99" i="18" l="1"/>
  <c r="AM100" i="18"/>
  <c r="M107" i="18"/>
  <c r="N107" i="18" s="1"/>
  <c r="AL175" i="18"/>
  <c r="AM176" i="18"/>
  <c r="AM99" i="18" l="1"/>
  <c r="AL98" i="18"/>
  <c r="AL174" i="18"/>
  <c r="AM175" i="18"/>
  <c r="P64" i="18"/>
  <c r="AL97" i="18" l="1"/>
  <c r="AM98" i="18"/>
  <c r="AL173" i="18"/>
  <c r="AM174" i="18"/>
  <c r="AM97" i="18" l="1"/>
  <c r="AL96" i="18"/>
  <c r="AL172" i="18"/>
  <c r="AM173" i="18"/>
  <c r="N23" i="33"/>
  <c r="D23" i="33" s="1"/>
  <c r="AM96" i="18" l="1"/>
  <c r="AL95" i="18"/>
  <c r="AL171" i="18"/>
  <c r="AM172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0" i="18"/>
  <c r="AM171" i="18"/>
  <c r="N21" i="18"/>
  <c r="AM94" i="18" l="1"/>
  <c r="AL93" i="18"/>
  <c r="Q36" i="18"/>
  <c r="R143" i="18"/>
  <c r="AJ193" i="18"/>
  <c r="AJ194" i="18" s="1"/>
  <c r="AL169" i="18"/>
  <c r="AM170" i="18"/>
  <c r="AL92" i="18" l="1"/>
  <c r="AM93" i="18"/>
  <c r="AL168" i="18"/>
  <c r="AM169" i="18"/>
  <c r="S60" i="18"/>
  <c r="S61" i="18" s="1"/>
  <c r="AL91" i="18" l="1"/>
  <c r="AM92" i="18"/>
  <c r="AM168" i="18"/>
  <c r="AL167" i="18"/>
  <c r="AL90" i="18" l="1"/>
  <c r="AM91" i="18"/>
  <c r="AL166" i="18"/>
  <c r="AM167" i="18"/>
  <c r="AM90" i="18" l="1"/>
  <c r="AL89" i="18"/>
  <c r="AM166" i="18"/>
  <c r="AL165" i="18"/>
  <c r="AL88" i="18" l="1"/>
  <c r="AM89" i="18"/>
  <c r="AM165" i="18"/>
  <c r="AL164" i="18"/>
  <c r="B8" i="36"/>
  <c r="AM88" i="18" l="1"/>
  <c r="AL87" i="18"/>
  <c r="AL163" i="18"/>
  <c r="AM164" i="18"/>
  <c r="B10" i="36"/>
  <c r="AL86" i="18" l="1"/>
  <c r="AM87" i="18"/>
  <c r="AL162" i="18"/>
  <c r="AM163" i="18"/>
  <c r="S62" i="18"/>
  <c r="AL85" i="18" l="1"/>
  <c r="AM86" i="18"/>
  <c r="S63" i="18"/>
  <c r="S64" i="18" s="1"/>
  <c r="S65" i="18" s="1"/>
  <c r="S66" i="18" s="1"/>
  <c r="S67" i="18" s="1"/>
  <c r="S68" i="18" s="1"/>
  <c r="AL161" i="18"/>
  <c r="AM162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1" i="18"/>
  <c r="AL160" i="18"/>
  <c r="S69" i="18"/>
  <c r="S70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0" i="18"/>
  <c r="AL159" i="18"/>
  <c r="AC15" i="33"/>
  <c r="AL82" i="18" l="1"/>
  <c r="AM83" i="18"/>
  <c r="AM159" i="18"/>
  <c r="AL158" i="18"/>
  <c r="N16" i="33"/>
  <c r="AL81" i="18" l="1"/>
  <c r="AM82" i="18"/>
  <c r="S71" i="18"/>
  <c r="S72" i="18" s="1"/>
  <c r="AM158" i="18"/>
  <c r="AL157" i="18"/>
  <c r="AM15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189" i="18"/>
  <c r="AN189" i="18" s="1"/>
  <c r="AJ192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313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13" i="20"/>
  <c r="S73" i="18" l="1"/>
  <c r="S74" i="18" s="1"/>
  <c r="S75" i="18" s="1"/>
  <c r="AJ195" i="18"/>
  <c r="AJ196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313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G296" i="20" l="1"/>
  <c r="I313" i="20"/>
  <c r="J313" i="20"/>
  <c r="K313" i="20"/>
  <c r="G295" i="20" l="1"/>
  <c r="K296" i="20"/>
  <c r="I296" i="20"/>
  <c r="J296" i="20"/>
  <c r="AL79" i="18"/>
  <c r="G25" i="46"/>
  <c r="H25" i="46"/>
  <c r="D25" i="46"/>
  <c r="I25" i="46" s="1"/>
  <c r="G294" i="20" l="1"/>
  <c r="K295" i="20"/>
  <c r="J295" i="20"/>
  <c r="I295" i="20"/>
  <c r="AL78" i="18"/>
  <c r="AM79" i="18"/>
  <c r="D88" i="46"/>
  <c r="G24" i="46"/>
  <c r="H24" i="46"/>
  <c r="D24" i="46"/>
  <c r="I24" i="46" s="1"/>
  <c r="G23" i="46"/>
  <c r="H23" i="46"/>
  <c r="D23" i="46"/>
  <c r="I23" i="46" s="1"/>
  <c r="G293" i="20" l="1"/>
  <c r="I294" i="20"/>
  <c r="J294" i="20"/>
  <c r="K294" i="20"/>
  <c r="S76" i="18"/>
  <c r="S77" i="18" s="1"/>
  <c r="AL77" i="18"/>
  <c r="AM78" i="18"/>
  <c r="N64" i="18"/>
  <c r="G292" i="20" l="1"/>
  <c r="K293" i="20"/>
  <c r="J293" i="20"/>
  <c r="I293" i="20"/>
  <c r="S78" i="18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AL76" i="18"/>
  <c r="AM77" i="18"/>
  <c r="G291" i="20" l="1"/>
  <c r="I292" i="20"/>
  <c r="K292" i="20"/>
  <c r="J292" i="20"/>
  <c r="AL75" i="18"/>
  <c r="AM76" i="18"/>
  <c r="N58" i="18"/>
  <c r="AJ146" i="18" l="1"/>
  <c r="AJ147" i="18" s="1"/>
  <c r="Q118" i="18"/>
  <c r="M106" i="18"/>
  <c r="N106" i="18" s="1"/>
  <c r="N114" i="18" s="1"/>
  <c r="G290" i="20"/>
  <c r="J291" i="20"/>
  <c r="K291" i="20"/>
  <c r="I291" i="20"/>
  <c r="R142" i="18"/>
  <c r="AL74" i="18"/>
  <c r="AM75" i="18"/>
  <c r="G289" i="20" l="1"/>
  <c r="I290" i="20"/>
  <c r="K290" i="20"/>
  <c r="J290" i="20"/>
  <c r="R151" i="18"/>
  <c r="T171" i="18" s="1"/>
  <c r="AL73" i="18"/>
  <c r="AM74" i="18"/>
  <c r="N90" i="18"/>
  <c r="V110" i="18" l="1"/>
  <c r="V107" i="18"/>
  <c r="V106" i="18"/>
  <c r="V105" i="18"/>
  <c r="V111" i="18"/>
  <c r="V108" i="18"/>
  <c r="V104" i="18"/>
  <c r="V109" i="18"/>
  <c r="V101" i="18"/>
  <c r="W101" i="18" s="1"/>
  <c r="V103" i="18"/>
  <c r="V102" i="18"/>
  <c r="X101" i="18"/>
  <c r="G288" i="20"/>
  <c r="K289" i="20"/>
  <c r="J289" i="20"/>
  <c r="I289" i="20"/>
  <c r="S130" i="18"/>
  <c r="V174" i="18"/>
  <c r="U184" i="18"/>
  <c r="V184" i="18" s="1"/>
  <c r="V100" i="18"/>
  <c r="V99" i="18"/>
  <c r="V34" i="18"/>
  <c r="W34" i="18" s="1"/>
  <c r="V48" i="18"/>
  <c r="V47" i="18"/>
  <c r="W47" i="18" s="1"/>
  <c r="V33" i="18"/>
  <c r="V98" i="18"/>
  <c r="V96" i="18"/>
  <c r="V97" i="18"/>
  <c r="V94" i="18"/>
  <c r="V93" i="18"/>
  <c r="V92" i="18"/>
  <c r="V91" i="18"/>
  <c r="V85" i="18"/>
  <c r="V88" i="18"/>
  <c r="V90" i="18"/>
  <c r="V86" i="18"/>
  <c r="V89" i="18"/>
  <c r="V95" i="18"/>
  <c r="V87" i="18"/>
  <c r="V117" i="18"/>
  <c r="V82" i="18"/>
  <c r="W82" i="18" s="1"/>
  <c r="V84" i="18"/>
  <c r="V83" i="18"/>
  <c r="V32" i="18"/>
  <c r="W32" i="18" s="1"/>
  <c r="V46" i="18"/>
  <c r="V80" i="18"/>
  <c r="W80" i="18" s="1"/>
  <c r="V81" i="18"/>
  <c r="V77" i="18"/>
  <c r="W77" i="18" s="1"/>
  <c r="V79" i="18"/>
  <c r="V78" i="18"/>
  <c r="V76" i="18"/>
  <c r="W76" i="18" s="1"/>
  <c r="V74" i="18"/>
  <c r="V75" i="18"/>
  <c r="V72" i="18"/>
  <c r="V73" i="18"/>
  <c r="V71" i="18"/>
  <c r="V31" i="18"/>
  <c r="V30" i="18"/>
  <c r="W30" i="18" s="1"/>
  <c r="V45" i="18"/>
  <c r="V29" i="18"/>
  <c r="X29" i="18" s="1"/>
  <c r="V44" i="18"/>
  <c r="V49" i="18"/>
  <c r="V43" i="18"/>
  <c r="V70" i="18"/>
  <c r="V42" i="18"/>
  <c r="V69" i="18"/>
  <c r="V28" i="18"/>
  <c r="V68" i="18"/>
  <c r="V27" i="18"/>
  <c r="V25" i="18"/>
  <c r="V26" i="18"/>
  <c r="W26" i="18" s="1"/>
  <c r="V67" i="18"/>
  <c r="V66" i="18"/>
  <c r="V65" i="18"/>
  <c r="V24" i="18"/>
  <c r="V64" i="18"/>
  <c r="V63" i="18"/>
  <c r="V61" i="18"/>
  <c r="V62" i="18"/>
  <c r="V21" i="18"/>
  <c r="V23" i="18"/>
  <c r="V58" i="18"/>
  <c r="V20" i="18"/>
  <c r="V22" i="18"/>
  <c r="V59" i="18"/>
  <c r="V60" i="18"/>
  <c r="AL72" i="18"/>
  <c r="AM73" i="18"/>
  <c r="W104" i="18" l="1"/>
  <c r="X104" i="18"/>
  <c r="W106" i="18"/>
  <c r="X106" i="18"/>
  <c r="X109" i="18"/>
  <c r="W109" i="18"/>
  <c r="W108" i="18"/>
  <c r="X108" i="18"/>
  <c r="W107" i="18"/>
  <c r="X107" i="18"/>
  <c r="W105" i="18"/>
  <c r="X105" i="18"/>
  <c r="W111" i="18"/>
  <c r="X111" i="18"/>
  <c r="W110" i="18"/>
  <c r="X110" i="18"/>
  <c r="W102" i="18"/>
  <c r="X102" i="18"/>
  <c r="W103" i="18"/>
  <c r="X103" i="18"/>
  <c r="X34" i="18"/>
  <c r="G287" i="20"/>
  <c r="J288" i="20"/>
  <c r="K288" i="20"/>
  <c r="I288" i="20"/>
  <c r="W99" i="18"/>
  <c r="X99" i="18"/>
  <c r="W100" i="18"/>
  <c r="X100" i="18"/>
  <c r="W48" i="18"/>
  <c r="X48" i="18"/>
  <c r="X47" i="18"/>
  <c r="W33" i="18"/>
  <c r="X33" i="18"/>
  <c r="W97" i="18"/>
  <c r="X97" i="18"/>
  <c r="W96" i="18"/>
  <c r="X96" i="18"/>
  <c r="W98" i="18"/>
  <c r="X98" i="18"/>
  <c r="X93" i="18"/>
  <c r="W93" i="18"/>
  <c r="W94" i="18"/>
  <c r="X94" i="18"/>
  <c r="W91" i="18"/>
  <c r="X91" i="18"/>
  <c r="W92" i="18"/>
  <c r="X92" i="18"/>
  <c r="W117" i="18"/>
  <c r="X117" i="18"/>
  <c r="W86" i="18"/>
  <c r="X86" i="18"/>
  <c r="X87" i="18"/>
  <c r="W87" i="18"/>
  <c r="W90" i="18"/>
  <c r="X90" i="18"/>
  <c r="X95" i="18"/>
  <c r="W95" i="18"/>
  <c r="W88" i="18"/>
  <c r="X88" i="18"/>
  <c r="W89" i="18"/>
  <c r="X89" i="18"/>
  <c r="W85" i="18"/>
  <c r="X85" i="18"/>
  <c r="X82" i="18"/>
  <c r="W83" i="18"/>
  <c r="X83" i="18"/>
  <c r="W84" i="18"/>
  <c r="X84" i="18"/>
  <c r="X32" i="18"/>
  <c r="W46" i="18"/>
  <c r="X46" i="18"/>
  <c r="X80" i="18"/>
  <c r="W81" i="18"/>
  <c r="X81" i="18"/>
  <c r="X77" i="18"/>
  <c r="W78" i="18"/>
  <c r="X78" i="18"/>
  <c r="W79" i="18"/>
  <c r="X79" i="18"/>
  <c r="X76" i="18"/>
  <c r="W75" i="18"/>
  <c r="X75" i="18"/>
  <c r="W74" i="18"/>
  <c r="X74" i="18"/>
  <c r="X73" i="18"/>
  <c r="W73" i="18"/>
  <c r="W72" i="18"/>
  <c r="X72" i="18"/>
  <c r="W71" i="18"/>
  <c r="X71" i="18"/>
  <c r="W31" i="18"/>
  <c r="X31" i="18"/>
  <c r="X30" i="18"/>
  <c r="W45" i="18"/>
  <c r="X45" i="18"/>
  <c r="W29" i="18"/>
  <c r="W44" i="18"/>
  <c r="X44" i="18"/>
  <c r="W43" i="18"/>
  <c r="X43" i="18"/>
  <c r="W49" i="18"/>
  <c r="X49" i="18"/>
  <c r="S129" i="18"/>
  <c r="N67" i="18"/>
  <c r="S128" i="18"/>
  <c r="U128" i="18" s="1"/>
  <c r="W70" i="18"/>
  <c r="X70" i="18"/>
  <c r="X42" i="18"/>
  <c r="W42" i="18"/>
  <c r="W22" i="18"/>
  <c r="X22" i="18"/>
  <c r="W21" i="18"/>
  <c r="X21" i="18"/>
  <c r="W63" i="18"/>
  <c r="X63" i="18"/>
  <c r="W65" i="18"/>
  <c r="X65" i="18"/>
  <c r="W68" i="18"/>
  <c r="X68" i="18"/>
  <c r="W60" i="18"/>
  <c r="X60" i="18"/>
  <c r="W66" i="18"/>
  <c r="X66" i="18"/>
  <c r="X26" i="18"/>
  <c r="W28" i="18"/>
  <c r="X28" i="18"/>
  <c r="W20" i="18"/>
  <c r="X20" i="18"/>
  <c r="W62" i="18"/>
  <c r="X62" i="18"/>
  <c r="W25" i="18"/>
  <c r="X25" i="18"/>
  <c r="X69" i="18"/>
  <c r="W69" i="18"/>
  <c r="W59" i="18"/>
  <c r="X59" i="18"/>
  <c r="W58" i="18"/>
  <c r="X58" i="18"/>
  <c r="W64" i="18"/>
  <c r="X64" i="18"/>
  <c r="W23" i="18"/>
  <c r="X23" i="18"/>
  <c r="W61" i="18"/>
  <c r="X61" i="18"/>
  <c r="X24" i="18"/>
  <c r="W24" i="18"/>
  <c r="W67" i="18"/>
  <c r="X67" i="18"/>
  <c r="W27" i="18"/>
  <c r="X27" i="18"/>
  <c r="AL71" i="18"/>
  <c r="AM72" i="18"/>
  <c r="G286" i="20" l="1"/>
  <c r="K287" i="20"/>
  <c r="J287" i="20"/>
  <c r="I287" i="20"/>
  <c r="N32" i="18"/>
  <c r="L21" i="18" s="1"/>
  <c r="U129" i="18"/>
  <c r="V129" i="18" s="1"/>
  <c r="AL70" i="18"/>
  <c r="AM71" i="18"/>
  <c r="G285" i="20" l="1"/>
  <c r="J286" i="20"/>
  <c r="K286" i="20"/>
  <c r="I286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84" i="20" l="1"/>
  <c r="J285" i="20"/>
  <c r="K285" i="20"/>
  <c r="I285" i="20"/>
  <c r="AL68" i="18"/>
  <c r="AM69" i="18"/>
  <c r="N2" i="33"/>
  <c r="G283" i="20" l="1"/>
  <c r="J284" i="20"/>
  <c r="K284" i="20"/>
  <c r="I284" i="20"/>
  <c r="AL67" i="18"/>
  <c r="AM68" i="18"/>
  <c r="I2" i="33"/>
  <c r="E2" i="33"/>
  <c r="J2" i="33"/>
  <c r="F2" i="33"/>
  <c r="K2" i="33"/>
  <c r="G2" i="33"/>
  <c r="D2" i="33"/>
  <c r="C2" i="33"/>
  <c r="H2" i="33"/>
  <c r="D73" i="45"/>
  <c r="I283" i="20" l="1"/>
  <c r="J283" i="20"/>
  <c r="K283" i="20"/>
  <c r="G282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J282" i="20" l="1"/>
  <c r="I282" i="20"/>
  <c r="K282" i="20"/>
  <c r="G281" i="20"/>
  <c r="AL65" i="18"/>
  <c r="AM66" i="18"/>
  <c r="E45" i="14"/>
  <c r="K281" i="20" l="1"/>
  <c r="G280" i="20"/>
  <c r="I281" i="20"/>
  <c r="J281" i="20"/>
  <c r="AL64" i="18"/>
  <c r="AM65" i="18"/>
  <c r="E44" i="14"/>
  <c r="K280" i="20" l="1"/>
  <c r="G279" i="20"/>
  <c r="J280" i="20"/>
  <c r="I280" i="20"/>
  <c r="AM64" i="18"/>
  <c r="AL63" i="18"/>
  <c r="E43" i="14"/>
  <c r="G43" i="14" s="1"/>
  <c r="J279" i="20" l="1"/>
  <c r="I279" i="20"/>
  <c r="G278" i="20"/>
  <c r="K279" i="20"/>
  <c r="AL62" i="18"/>
  <c r="AM63" i="18"/>
  <c r="E42" i="14"/>
  <c r="G42" i="14" s="1"/>
  <c r="K278" i="20" l="1"/>
  <c r="J278" i="20"/>
  <c r="I278" i="20"/>
  <c r="G277" i="20"/>
  <c r="AL61" i="18"/>
  <c r="AM62" i="18"/>
  <c r="E41" i="14"/>
  <c r="G41" i="14" s="1"/>
  <c r="J277" i="20" l="1"/>
  <c r="G276" i="20"/>
  <c r="K277" i="20"/>
  <c r="I277" i="20"/>
  <c r="AM61" i="18"/>
  <c r="AL60" i="18"/>
  <c r="E40" i="14"/>
  <c r="G40" i="14" s="1"/>
  <c r="G275" i="20" l="1"/>
  <c r="K276" i="20"/>
  <c r="J276" i="20"/>
  <c r="I276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74" i="20" l="1"/>
  <c r="K275" i="20"/>
  <c r="J275" i="20"/>
  <c r="I275" i="20"/>
  <c r="AM59" i="18"/>
  <c r="AL58" i="18"/>
  <c r="E38" i="14"/>
  <c r="G38" i="14" s="1"/>
  <c r="G273" i="20" l="1"/>
  <c r="I274" i="20"/>
  <c r="J274" i="20"/>
  <c r="K274" i="20"/>
  <c r="AL57" i="18"/>
  <c r="AM58" i="18"/>
  <c r="E37" i="14"/>
  <c r="G37" i="14" s="1"/>
  <c r="G272" i="20" l="1"/>
  <c r="K273" i="20"/>
  <c r="J273" i="20"/>
  <c r="I273" i="20"/>
  <c r="AL56" i="18"/>
  <c r="AM57" i="18"/>
  <c r="E36" i="14"/>
  <c r="G36" i="14" s="1"/>
  <c r="B105" i="13"/>
  <c r="J272" i="20" l="1"/>
  <c r="K272" i="20"/>
  <c r="I272" i="20"/>
  <c r="G271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70" i="20" l="1"/>
  <c r="K271" i="20"/>
  <c r="I271" i="20"/>
  <c r="J271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69" i="20" l="1"/>
  <c r="K270" i="20"/>
  <c r="I270" i="20"/>
  <c r="J270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I269" i="20" l="1"/>
  <c r="G268" i="20"/>
  <c r="K269" i="20"/>
  <c r="J269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J268" i="20" l="1"/>
  <c r="K268" i="20"/>
  <c r="I268" i="20"/>
  <c r="G267" i="20"/>
  <c r="H33" i="48"/>
  <c r="B27" i="50"/>
  <c r="D2" i="50"/>
  <c r="G2" i="50"/>
  <c r="G28" i="50" s="1"/>
  <c r="AL51" i="18"/>
  <c r="AM52" i="18"/>
  <c r="D27" i="48"/>
  <c r="E252" i="15"/>
  <c r="I267" i="20" l="1"/>
  <c r="K267" i="20"/>
  <c r="J267" i="20"/>
  <c r="G266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J266" i="20" l="1"/>
  <c r="G265" i="20"/>
  <c r="K266" i="20"/>
  <c r="I266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65" i="20" l="1"/>
  <c r="G264" i="20"/>
  <c r="I265" i="20"/>
  <c r="J265" i="20"/>
  <c r="AL48" i="18"/>
  <c r="AM49" i="18"/>
  <c r="E30" i="14"/>
  <c r="G31" i="14"/>
  <c r="E248" i="15"/>
  <c r="G263" i="20" l="1"/>
  <c r="J264" i="20"/>
  <c r="K264" i="20"/>
  <c r="I264" i="20"/>
  <c r="AL47" i="18"/>
  <c r="AM48" i="18"/>
  <c r="E29" i="14"/>
  <c r="G30" i="14"/>
  <c r="E247" i="15"/>
  <c r="E246" i="15"/>
  <c r="I263" i="20" l="1"/>
  <c r="G262" i="20"/>
  <c r="J263" i="20"/>
  <c r="K263" i="20"/>
  <c r="AL46" i="18"/>
  <c r="AM47" i="18"/>
  <c r="E28" i="14"/>
  <c r="G29" i="14"/>
  <c r="E245" i="15"/>
  <c r="G261" i="20" l="1"/>
  <c r="K262" i="20"/>
  <c r="I262" i="20"/>
  <c r="J262" i="20"/>
  <c r="AM46" i="18"/>
  <c r="AL45" i="18"/>
  <c r="E27" i="14"/>
  <c r="G28" i="14"/>
  <c r="N15" i="33"/>
  <c r="E244" i="15"/>
  <c r="J261" i="20" l="1"/>
  <c r="G260" i="20"/>
  <c r="I261" i="20"/>
  <c r="K261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59" i="20" l="1"/>
  <c r="J260" i="20"/>
  <c r="K260" i="20"/>
  <c r="I260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58" i="20" l="1"/>
  <c r="I259" i="20"/>
  <c r="J259" i="20"/>
  <c r="K259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57" i="20" l="1"/>
  <c r="J258" i="20"/>
  <c r="I258" i="20"/>
  <c r="K258" i="20"/>
  <c r="AL41" i="18"/>
  <c r="AM42" i="18"/>
  <c r="E23" i="14"/>
  <c r="G24" i="14"/>
  <c r="H25" i="43"/>
  <c r="G2" i="43"/>
  <c r="G25" i="43" s="1"/>
  <c r="G30" i="43" s="1"/>
  <c r="H30" i="43" s="1"/>
  <c r="G256" i="20" l="1"/>
  <c r="I257" i="20"/>
  <c r="K257" i="20"/>
  <c r="J257" i="20"/>
  <c r="AM41" i="18"/>
  <c r="AL40" i="18"/>
  <c r="E22" i="14"/>
  <c r="G23" i="14"/>
  <c r="I2" i="43"/>
  <c r="I25" i="43" s="1"/>
  <c r="I30" i="43" s="1"/>
  <c r="D24" i="43"/>
  <c r="G255" i="20" l="1"/>
  <c r="K256" i="20"/>
  <c r="I256" i="20"/>
  <c r="J256" i="20"/>
  <c r="AL39" i="18"/>
  <c r="AM40" i="18"/>
  <c r="E21" i="14"/>
  <c r="E20" i="14" s="1"/>
  <c r="E19" i="14" s="1"/>
  <c r="E18" i="14" s="1"/>
  <c r="G22" i="14"/>
  <c r="E243" i="15"/>
  <c r="G254" i="20" l="1"/>
  <c r="J255" i="20"/>
  <c r="I255" i="20"/>
  <c r="K255" i="20"/>
  <c r="AM39" i="18"/>
  <c r="AL38" i="18"/>
  <c r="E242" i="15"/>
  <c r="K254" i="20" l="1"/>
  <c r="I254" i="20"/>
  <c r="G253" i="20"/>
  <c r="J254" i="20"/>
  <c r="AL37" i="18"/>
  <c r="AM38" i="18"/>
  <c r="J57" i="33"/>
  <c r="J55" i="33"/>
  <c r="J54" i="33"/>
  <c r="G252" i="20" l="1"/>
  <c r="I253" i="20"/>
  <c r="J253" i="20"/>
  <c r="K253" i="20"/>
  <c r="AL36" i="18"/>
  <c r="AM37" i="18"/>
  <c r="L57" i="33"/>
  <c r="E241" i="15"/>
  <c r="K252" i="20" l="1"/>
  <c r="I252" i="20"/>
  <c r="G251" i="20"/>
  <c r="J252" i="20"/>
  <c r="AM36" i="18"/>
  <c r="AL35" i="18"/>
  <c r="D168" i="20"/>
  <c r="G250" i="20" l="1"/>
  <c r="K251" i="20"/>
  <c r="I251" i="20"/>
  <c r="J251" i="20"/>
  <c r="AL34" i="18"/>
  <c r="AM35" i="18"/>
  <c r="E240" i="15"/>
  <c r="E239" i="15"/>
  <c r="G249" i="20" l="1"/>
  <c r="J250" i="20"/>
  <c r="K250" i="20"/>
  <c r="I250" i="20"/>
  <c r="D259" i="15"/>
  <c r="AL33" i="18"/>
  <c r="AM34" i="18"/>
  <c r="J249" i="20" l="1"/>
  <c r="I249" i="20"/>
  <c r="G248" i="20"/>
  <c r="K249" i="20"/>
  <c r="D258" i="15"/>
  <c r="F259" i="15"/>
  <c r="AL32" i="18"/>
  <c r="AM33" i="18"/>
  <c r="G247" i="20" l="1"/>
  <c r="J248" i="20"/>
  <c r="K248" i="20"/>
  <c r="I248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47" i="20" l="1"/>
  <c r="G246" i="20"/>
  <c r="J247" i="20"/>
  <c r="I247" i="20"/>
  <c r="D256" i="15"/>
  <c r="F257" i="15"/>
  <c r="AL30" i="18"/>
  <c r="AM31" i="18"/>
  <c r="L60" i="32"/>
  <c r="L48" i="32"/>
  <c r="G245" i="20" l="1"/>
  <c r="I246" i="20"/>
  <c r="J246" i="20"/>
  <c r="K246" i="20"/>
  <c r="D255" i="15"/>
  <c r="F256" i="15"/>
  <c r="AL29" i="18"/>
  <c r="AM30" i="18"/>
  <c r="I245" i="20" l="1"/>
  <c r="J245" i="20"/>
  <c r="G244" i="20"/>
  <c r="K245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K244" i="20" l="1"/>
  <c r="I244" i="20"/>
  <c r="G243" i="20"/>
  <c r="J244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42" i="20" l="1"/>
  <c r="K243" i="20"/>
  <c r="J243" i="20"/>
  <c r="I243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J242" i="20" l="1"/>
  <c r="K242" i="20"/>
  <c r="G241" i="20"/>
  <c r="I242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41" i="20" l="1"/>
  <c r="I241" i="20"/>
  <c r="G240" i="20"/>
  <c r="J241" i="20"/>
  <c r="D250" i="15"/>
  <c r="F251" i="15"/>
  <c r="AL24" i="18"/>
  <c r="AM25" i="18"/>
  <c r="E178" i="13"/>
  <c r="G179" i="13"/>
  <c r="G239" i="20" l="1"/>
  <c r="I240" i="20"/>
  <c r="K240" i="20"/>
  <c r="J240" i="20"/>
  <c r="D249" i="15"/>
  <c r="F250" i="15"/>
  <c r="AM24" i="18"/>
  <c r="AL23" i="18"/>
  <c r="E177" i="13"/>
  <c r="G178" i="13"/>
  <c r="G238" i="20" l="1"/>
  <c r="J239" i="20"/>
  <c r="K239" i="20"/>
  <c r="I239" i="20"/>
  <c r="F249" i="15"/>
  <c r="D248" i="15"/>
  <c r="AM23" i="18"/>
  <c r="AL22" i="18"/>
  <c r="E176" i="13"/>
  <c r="G177" i="13"/>
  <c r="D165" i="20"/>
  <c r="J238" i="20" l="1"/>
  <c r="G237" i="20"/>
  <c r="I238" i="20"/>
  <c r="K238" i="20"/>
  <c r="D247" i="15"/>
  <c r="F248" i="15"/>
  <c r="AL21" i="18"/>
  <c r="AL20" i="18" s="1"/>
  <c r="AM22" i="18"/>
  <c r="E175" i="13"/>
  <c r="G176" i="13"/>
  <c r="D164" i="20"/>
  <c r="G236" i="20" l="1"/>
  <c r="J237" i="20"/>
  <c r="I237" i="20"/>
  <c r="K237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35" i="20" l="1"/>
  <c r="J236" i="20"/>
  <c r="I236" i="20"/>
  <c r="K236" i="20"/>
  <c r="AM140" i="18"/>
  <c r="F246" i="15"/>
  <c r="D245" i="15"/>
  <c r="E173" i="13"/>
  <c r="G174" i="13"/>
  <c r="X720" i="41"/>
  <c r="U2123" i="41"/>
  <c r="G234" i="20" l="1"/>
  <c r="I235" i="20"/>
  <c r="K235" i="20"/>
  <c r="J235" i="20"/>
  <c r="F245" i="15"/>
  <c r="D244" i="15"/>
  <c r="AN140" i="18"/>
  <c r="AJ145" i="18" s="1"/>
  <c r="AJ149" i="18" s="1"/>
  <c r="E172" i="13"/>
  <c r="G173" i="13"/>
  <c r="D62" i="38"/>
  <c r="I234" i="20" l="1"/>
  <c r="K234" i="20"/>
  <c r="J234" i="20"/>
  <c r="G233" i="20"/>
  <c r="F244" i="15"/>
  <c r="D243" i="15"/>
  <c r="AJ148" i="18"/>
  <c r="E171" i="13"/>
  <c r="G172" i="13"/>
  <c r="K233" i="20" l="1"/>
  <c r="G232" i="20"/>
  <c r="J233" i="20"/>
  <c r="I233" i="20"/>
  <c r="F243" i="15"/>
  <c r="D242" i="15"/>
  <c r="E170" i="13"/>
  <c r="G171" i="13"/>
  <c r="G231" i="20" l="1"/>
  <c r="J232" i="20"/>
  <c r="I232" i="20"/>
  <c r="K232" i="20"/>
  <c r="F242" i="15"/>
  <c r="D241" i="15"/>
  <c r="E169" i="13"/>
  <c r="G170" i="13"/>
  <c r="D163" i="20"/>
  <c r="G230" i="20" l="1"/>
  <c r="J231" i="20"/>
  <c r="K231" i="20"/>
  <c r="I231" i="20"/>
  <c r="F241" i="15"/>
  <c r="D240" i="15"/>
  <c r="E168" i="13"/>
  <c r="G169" i="13"/>
  <c r="G229" i="20" l="1"/>
  <c r="I230" i="20"/>
  <c r="J230" i="20"/>
  <c r="K230" i="20"/>
  <c r="D239" i="15"/>
  <c r="F240" i="15"/>
  <c r="E167" i="13"/>
  <c r="G168" i="13"/>
  <c r="D162" i="20"/>
  <c r="G228" i="20" l="1"/>
  <c r="J229" i="20"/>
  <c r="K229" i="20"/>
  <c r="I229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28" i="20" l="1"/>
  <c r="I228" i="20"/>
  <c r="G227" i="20"/>
  <c r="J228" i="20"/>
  <c r="D237" i="15"/>
  <c r="F238" i="15"/>
  <c r="G73" i="16"/>
  <c r="G72" i="16"/>
  <c r="E165" i="13"/>
  <c r="G166" i="13"/>
  <c r="G71" i="16"/>
  <c r="G70" i="16"/>
  <c r="G69" i="16"/>
  <c r="D160" i="20"/>
  <c r="J227" i="20" l="1"/>
  <c r="G226" i="20"/>
  <c r="K227" i="20"/>
  <c r="I227" i="20"/>
  <c r="F237" i="15"/>
  <c r="D236" i="15"/>
  <c r="E164" i="13"/>
  <c r="G165" i="13"/>
  <c r="D159" i="20"/>
  <c r="I226" i="20" l="1"/>
  <c r="G225" i="20"/>
  <c r="K226" i="20"/>
  <c r="J226" i="20"/>
  <c r="D235" i="15"/>
  <c r="F236" i="15"/>
  <c r="E163" i="13"/>
  <c r="G164" i="13"/>
  <c r="D158" i="20"/>
  <c r="D157" i="20"/>
  <c r="J225" i="20" l="1"/>
  <c r="G224" i="20"/>
  <c r="K225" i="20"/>
  <c r="I225" i="20"/>
  <c r="F235" i="15"/>
  <c r="D234" i="15"/>
  <c r="E162" i="13"/>
  <c r="G163" i="13"/>
  <c r="D156" i="20"/>
  <c r="J224" i="20" l="1"/>
  <c r="K224" i="20"/>
  <c r="G223" i="20"/>
  <c r="I224" i="20"/>
  <c r="F234" i="15"/>
  <c r="D233" i="15"/>
  <c r="E161" i="13"/>
  <c r="G162" i="13"/>
  <c r="D155" i="20"/>
  <c r="G222" i="20" l="1"/>
  <c r="K223" i="20"/>
  <c r="J223" i="20"/>
  <c r="I223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22" i="20" l="1"/>
  <c r="J222" i="20"/>
  <c r="G221" i="20"/>
  <c r="K222" i="20"/>
  <c r="F232" i="15"/>
  <c r="D231" i="15"/>
  <c r="E159" i="13"/>
  <c r="G160" i="13"/>
  <c r="G220" i="20" l="1"/>
  <c r="I221" i="20"/>
  <c r="J221" i="20"/>
  <c r="K221" i="20"/>
  <c r="F231" i="15"/>
  <c r="D230" i="15"/>
  <c r="E158" i="13"/>
  <c r="G159" i="13"/>
  <c r="D154" i="20"/>
  <c r="D153" i="20"/>
  <c r="I220" i="20" l="1"/>
  <c r="K220" i="20"/>
  <c r="G219" i="20"/>
  <c r="J220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19" i="20" l="1"/>
  <c r="K219" i="20"/>
  <c r="J219" i="20"/>
  <c r="G218" i="20"/>
  <c r="F229" i="15"/>
  <c r="D228" i="15"/>
  <c r="E156" i="13"/>
  <c r="G157" i="13"/>
  <c r="K218" i="20" l="1"/>
  <c r="G217" i="20"/>
  <c r="I218" i="20"/>
  <c r="J218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K217" i="20" l="1"/>
  <c r="G216" i="20"/>
  <c r="J217" i="20"/>
  <c r="I217" i="20"/>
  <c r="F227" i="15"/>
  <c r="D226" i="15"/>
  <c r="E154" i="13"/>
  <c r="G155" i="13"/>
  <c r="I46" i="32"/>
  <c r="K216" i="20" l="1"/>
  <c r="I216" i="20"/>
  <c r="G215" i="20"/>
  <c r="J216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K215" i="20" l="1"/>
  <c r="G214" i="20"/>
  <c r="I215" i="20"/>
  <c r="J215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I214" i="20" l="1"/>
  <c r="K214" i="20"/>
  <c r="J214" i="20"/>
  <c r="G213" i="20"/>
  <c r="E151" i="13"/>
  <c r="G152" i="13"/>
  <c r="K213" i="20" l="1"/>
  <c r="J213" i="20"/>
  <c r="I213" i="20"/>
  <c r="G212" i="20"/>
  <c r="E150" i="13"/>
  <c r="G151" i="13"/>
  <c r="I212" i="20" l="1"/>
  <c r="K212" i="20"/>
  <c r="G211" i="20"/>
  <c r="J212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K211" i="20" l="1"/>
  <c r="I211" i="20"/>
  <c r="J211" i="20"/>
  <c r="G210" i="20"/>
  <c r="E148" i="13"/>
  <c r="G149" i="13"/>
  <c r="I210" i="20" l="1"/>
  <c r="G209" i="20"/>
  <c r="J210" i="20"/>
  <c r="K210" i="20"/>
  <c r="E147" i="13"/>
  <c r="G148" i="13"/>
  <c r="I209" i="20" l="1"/>
  <c r="G208" i="20"/>
  <c r="K209" i="20"/>
  <c r="J209" i="20"/>
  <c r="E146" i="13"/>
  <c r="G147" i="13"/>
  <c r="K47" i="32"/>
  <c r="U47" i="32" s="1"/>
  <c r="U46" i="32"/>
  <c r="K208" i="20" l="1"/>
  <c r="J208" i="20"/>
  <c r="I208" i="20"/>
  <c r="G207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07" i="20" l="1"/>
  <c r="K207" i="20"/>
  <c r="J207" i="20"/>
  <c r="G206" i="20"/>
  <c r="E144" i="13"/>
  <c r="G145" i="13"/>
  <c r="AD15" i="32"/>
  <c r="AB15" i="32"/>
  <c r="Z34" i="32"/>
  <c r="G45" i="10"/>
  <c r="D42" i="34"/>
  <c r="G205" i="20" l="1"/>
  <c r="I206" i="20"/>
  <c r="K206" i="20"/>
  <c r="J206" i="20"/>
  <c r="E143" i="13"/>
  <c r="G144" i="13"/>
  <c r="AC16" i="32"/>
  <c r="AD16" i="32"/>
  <c r="AB16" i="32"/>
  <c r="G204" i="20" l="1"/>
  <c r="K205" i="20"/>
  <c r="I205" i="20"/>
  <c r="J205" i="20"/>
  <c r="E142" i="13"/>
  <c r="G143" i="13"/>
  <c r="J204" i="20" l="1"/>
  <c r="I204" i="20"/>
  <c r="G203" i="20"/>
  <c r="K204" i="20"/>
  <c r="E141" i="13"/>
  <c r="G142" i="13"/>
  <c r="U8" i="32"/>
  <c r="G202" i="20" l="1"/>
  <c r="K203" i="20"/>
  <c r="I203" i="20"/>
  <c r="J203" i="20"/>
  <c r="E140" i="13"/>
  <c r="G141" i="13"/>
  <c r="J202" i="20" l="1"/>
  <c r="G201" i="20"/>
  <c r="I202" i="20"/>
  <c r="K202" i="20"/>
  <c r="E139" i="13"/>
  <c r="G140" i="13"/>
  <c r="N34" i="33"/>
  <c r="J201" i="20" l="1"/>
  <c r="K201" i="20"/>
  <c r="G200" i="20"/>
  <c r="I201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J200" i="20" l="1"/>
  <c r="G199" i="20"/>
  <c r="I200" i="20"/>
  <c r="K200" i="20"/>
  <c r="E137" i="13"/>
  <c r="G138" i="13"/>
  <c r="Q43" i="32"/>
  <c r="J199" i="20" l="1"/>
  <c r="I199" i="20"/>
  <c r="G198" i="20"/>
  <c r="K199" i="20"/>
  <c r="E136" i="13"/>
  <c r="G137" i="13"/>
  <c r="I42" i="32"/>
  <c r="K41" i="32"/>
  <c r="M41" i="32"/>
  <c r="M29" i="32"/>
  <c r="R29" i="32" s="1"/>
  <c r="K29" i="32"/>
  <c r="J198" i="20" l="1"/>
  <c r="I198" i="20"/>
  <c r="K198" i="20"/>
  <c r="G197" i="20"/>
  <c r="E135" i="13"/>
  <c r="G136" i="13"/>
  <c r="Q29" i="32"/>
  <c r="G196" i="20" l="1"/>
  <c r="I197" i="20"/>
  <c r="K197" i="20"/>
  <c r="J197" i="20"/>
  <c r="E134" i="13"/>
  <c r="G135" i="13"/>
  <c r="U29" i="32"/>
  <c r="U62" i="32"/>
  <c r="U63" i="32"/>
  <c r="U64" i="32"/>
  <c r="U65" i="32"/>
  <c r="U66" i="32"/>
  <c r="U67" i="32"/>
  <c r="U68" i="32"/>
  <c r="AC28" i="33"/>
  <c r="K196" i="20" l="1"/>
  <c r="G195" i="20"/>
  <c r="J196" i="20"/>
  <c r="I196" i="20"/>
  <c r="E133" i="13"/>
  <c r="G134" i="13"/>
  <c r="AE24" i="33"/>
  <c r="G194" i="20" l="1"/>
  <c r="J195" i="20"/>
  <c r="I195" i="20"/>
  <c r="K195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J194" i="20" l="1"/>
  <c r="I194" i="20"/>
  <c r="G193" i="20"/>
  <c r="K194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92" i="20" l="1"/>
  <c r="I193" i="20"/>
  <c r="J193" i="20"/>
  <c r="K193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G191" i="20" l="1"/>
  <c r="I192" i="20"/>
  <c r="J192" i="20"/>
  <c r="K192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90" i="20" l="1"/>
  <c r="I191" i="20"/>
  <c r="J191" i="20"/>
  <c r="K191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89" i="20" l="1"/>
  <c r="K190" i="20"/>
  <c r="I190" i="20"/>
  <c r="J190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88" i="20" l="1"/>
  <c r="K189" i="20"/>
  <c r="I189" i="20"/>
  <c r="J189" i="20"/>
  <c r="E126" i="13"/>
  <c r="G127" i="13"/>
  <c r="H30" i="42"/>
  <c r="I2" i="42"/>
  <c r="I25" i="42" s="1"/>
  <c r="I30" i="42" s="1"/>
  <c r="D24" i="42"/>
  <c r="K28" i="32"/>
  <c r="J188" i="20" l="1"/>
  <c r="I188" i="20"/>
  <c r="G187" i="20"/>
  <c r="K188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86" i="20" l="1"/>
  <c r="K187" i="20"/>
  <c r="J187" i="20"/>
  <c r="I187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85" i="20" l="1"/>
  <c r="I186" i="20"/>
  <c r="J186" i="20"/>
  <c r="K186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84" i="20" l="1"/>
  <c r="I185" i="20"/>
  <c r="J185" i="20"/>
  <c r="K185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I184" i="20" l="1"/>
  <c r="K184" i="20"/>
  <c r="G183" i="20"/>
  <c r="J184" i="20"/>
  <c r="G102" i="13"/>
  <c r="G199" i="13"/>
  <c r="G103" i="13"/>
  <c r="U14" i="32"/>
  <c r="L14" i="32" s="1"/>
  <c r="Q9" i="32"/>
  <c r="R9" i="32"/>
  <c r="Y5" i="33"/>
  <c r="I183" i="20" l="1"/>
  <c r="G182" i="20"/>
  <c r="K183" i="20"/>
  <c r="J183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82" i="20" l="1"/>
  <c r="I182" i="20"/>
  <c r="J182" i="20"/>
  <c r="G181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G180" i="20" l="1"/>
  <c r="I181" i="20"/>
  <c r="K181" i="20"/>
  <c r="J181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I180" i="20" l="1"/>
  <c r="G179" i="20"/>
  <c r="J180" i="20"/>
  <c r="K180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I179" i="20" l="1"/>
  <c r="J179" i="20"/>
  <c r="G178" i="20"/>
  <c r="K179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78" i="20" l="1"/>
  <c r="I178" i="20"/>
  <c r="G177" i="20"/>
  <c r="J178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76" i="20" l="1"/>
  <c r="I177" i="20"/>
  <c r="K177" i="20"/>
  <c r="J177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J176" i="20" l="1"/>
  <c r="I176" i="20"/>
  <c r="G175" i="20"/>
  <c r="K176" i="20"/>
  <c r="H25" i="31"/>
  <c r="G25" i="31"/>
  <c r="I2" i="31"/>
  <c r="I25" i="31" s="1"/>
  <c r="D24" i="31"/>
  <c r="B24" i="31"/>
  <c r="G44" i="10"/>
  <c r="D143" i="20"/>
  <c r="K175" i="20" l="1"/>
  <c r="G174" i="20"/>
  <c r="J175" i="20"/>
  <c r="I175" i="20"/>
  <c r="H30" i="31"/>
  <c r="I30" i="31"/>
  <c r="J174" i="20" l="1"/>
  <c r="K174" i="20"/>
  <c r="I174" i="20"/>
  <c r="G173" i="20"/>
  <c r="E184" i="15"/>
  <c r="E185" i="15"/>
  <c r="E183" i="15"/>
  <c r="I173" i="20" l="1"/>
  <c r="G172" i="20"/>
  <c r="K173" i="20"/>
  <c r="J173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71" i="20" l="1"/>
  <c r="K172" i="20"/>
  <c r="J172" i="20"/>
  <c r="I172" i="20"/>
  <c r="D141" i="20"/>
  <c r="G170" i="20" l="1"/>
  <c r="I171" i="20"/>
  <c r="K171" i="20"/>
  <c r="J171" i="20"/>
  <c r="F2" i="16"/>
  <c r="G2" i="16" s="1"/>
  <c r="G85" i="16" s="1"/>
  <c r="I170" i="20" l="1"/>
  <c r="K170" i="20"/>
  <c r="G169" i="20"/>
  <c r="J170" i="20"/>
  <c r="F185" i="15"/>
  <c r="D140" i="20"/>
  <c r="I169" i="20" l="1"/>
  <c r="K169" i="20"/>
  <c r="J169" i="20"/>
  <c r="G168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J168" i="20" l="1"/>
  <c r="K168" i="20"/>
  <c r="I168" i="20"/>
  <c r="G167" i="20"/>
  <c r="F183" i="15"/>
  <c r="G43" i="10"/>
  <c r="G166" i="20" l="1"/>
  <c r="J167" i="20"/>
  <c r="K167" i="20"/>
  <c r="I167" i="20"/>
  <c r="D138" i="20"/>
  <c r="K166" i="20" l="1"/>
  <c r="J166" i="20"/>
  <c r="I166" i="20"/>
  <c r="G165" i="20"/>
  <c r="G42" i="10"/>
  <c r="G164" i="20" l="1"/>
  <c r="I165" i="20"/>
  <c r="K165" i="20"/>
  <c r="J165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G163" i="20" l="1"/>
  <c r="J164" i="20"/>
  <c r="K164" i="20"/>
  <c r="I164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I163" i="20" l="1"/>
  <c r="G162" i="20"/>
  <c r="J163" i="20"/>
  <c r="K163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K162" i="20" l="1"/>
  <c r="J162" i="20"/>
  <c r="G161" i="20"/>
  <c r="I162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60" i="20" l="1"/>
  <c r="J161" i="20"/>
  <c r="K161" i="20"/>
  <c r="I161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60" i="20" l="1"/>
  <c r="I160" i="20"/>
  <c r="G159" i="20"/>
  <c r="J160" i="20"/>
  <c r="H30" i="30"/>
  <c r="I2" i="30"/>
  <c r="I25" i="30" s="1"/>
  <c r="I30" i="30" s="1"/>
  <c r="D24" i="30"/>
  <c r="D42" i="27"/>
  <c r="K159" i="20" l="1"/>
  <c r="G158" i="20"/>
  <c r="J159" i="20"/>
  <c r="I159" i="20"/>
  <c r="D133" i="20"/>
  <c r="B24" i="27"/>
  <c r="G157" i="20" l="1"/>
  <c r="I158" i="20"/>
  <c r="K158" i="20"/>
  <c r="J158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I157" i="20" l="1"/>
  <c r="K157" i="20"/>
  <c r="G156" i="20"/>
  <c r="J157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K156" i="20" l="1"/>
  <c r="I156" i="20"/>
  <c r="J156" i="20"/>
  <c r="G155" i="20"/>
  <c r="F166" i="15"/>
  <c r="F165" i="15"/>
  <c r="F164" i="15"/>
  <c r="F163" i="15"/>
  <c r="F162" i="15"/>
  <c r="F161" i="15"/>
  <c r="F160" i="15"/>
  <c r="F159" i="15"/>
  <c r="F158" i="15"/>
  <c r="G154" i="20" l="1"/>
  <c r="I155" i="20"/>
  <c r="J155" i="20"/>
  <c r="K155" i="20"/>
  <c r="D132" i="20"/>
  <c r="D131" i="20"/>
  <c r="I154" i="20" l="1"/>
  <c r="K154" i="20"/>
  <c r="G153" i="20"/>
  <c r="J154" i="20"/>
  <c r="E3" i="18"/>
  <c r="D4" i="18"/>
  <c r="E100" i="18"/>
  <c r="N6" i="18" s="1"/>
  <c r="N10" i="18" s="1"/>
  <c r="K153" i="20" l="1"/>
  <c r="G152" i="20"/>
  <c r="I153" i="20"/>
  <c r="J153" i="20"/>
  <c r="N11" i="18"/>
  <c r="G38" i="10"/>
  <c r="D129" i="20"/>
  <c r="G151" i="20" l="1"/>
  <c r="I152" i="20"/>
  <c r="J152" i="20"/>
  <c r="K152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I151" i="20" l="1"/>
  <c r="J151" i="20"/>
  <c r="K151" i="20"/>
  <c r="G150" i="20"/>
  <c r="H2" i="27"/>
  <c r="H25" i="27" s="1"/>
  <c r="C24" i="27"/>
  <c r="D2" i="27"/>
  <c r="G2" i="27"/>
  <c r="G25" i="27" s="1"/>
  <c r="D24" i="26"/>
  <c r="D127" i="20"/>
  <c r="G149" i="20" l="1"/>
  <c r="J150" i="20"/>
  <c r="I150" i="20"/>
  <c r="K150" i="20"/>
  <c r="H30" i="27"/>
  <c r="I2" i="27"/>
  <c r="I25" i="27" s="1"/>
  <c r="I30" i="27" s="1"/>
  <c r="D24" i="27"/>
  <c r="I149" i="20" l="1"/>
  <c r="G148" i="20"/>
  <c r="J149" i="20"/>
  <c r="K149" i="20"/>
  <c r="D42" i="25"/>
  <c r="G147" i="20" l="1"/>
  <c r="J148" i="20"/>
  <c r="K148" i="20"/>
  <c r="I148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J147" i="20" l="1"/>
  <c r="K147" i="20"/>
  <c r="G146" i="20"/>
  <c r="I147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K146" i="20" l="1"/>
  <c r="I146" i="20"/>
  <c r="G145" i="20"/>
  <c r="J146" i="20"/>
  <c r="G2" i="25"/>
  <c r="G25" i="25" s="1"/>
  <c r="D2" i="25"/>
  <c r="D42" i="24"/>
  <c r="I145" i="20" l="1"/>
  <c r="G144" i="20"/>
  <c r="K145" i="20"/>
  <c r="J145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43" i="20" l="1"/>
  <c r="I144" i="20"/>
  <c r="J144" i="20"/>
  <c r="K144" i="20"/>
  <c r="G74" i="13"/>
  <c r="G73" i="13"/>
  <c r="G72" i="13"/>
  <c r="G71" i="13"/>
  <c r="G70" i="13"/>
  <c r="G69" i="13"/>
  <c r="G68" i="13"/>
  <c r="G67" i="13"/>
  <c r="G66" i="13"/>
  <c r="H124" i="20"/>
  <c r="K143" i="20" l="1"/>
  <c r="G142" i="20"/>
  <c r="I143" i="20"/>
  <c r="J143" i="20"/>
  <c r="G37" i="10"/>
  <c r="G141" i="20" l="1"/>
  <c r="J142" i="20"/>
  <c r="I142" i="20"/>
  <c r="K142" i="20"/>
  <c r="F64" i="13"/>
  <c r="F65" i="13"/>
  <c r="G140" i="20" l="1"/>
  <c r="I141" i="20"/>
  <c r="J141" i="20"/>
  <c r="K141" i="20"/>
  <c r="G65" i="13"/>
  <c r="G64" i="13"/>
  <c r="G36" i="10"/>
  <c r="G139" i="20" l="1"/>
  <c r="I140" i="20"/>
  <c r="K140" i="20"/>
  <c r="J140" i="20"/>
  <c r="H123" i="20"/>
  <c r="G138" i="20" l="1"/>
  <c r="K139" i="20"/>
  <c r="I139" i="20"/>
  <c r="J139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37" i="20" l="1"/>
  <c r="J138" i="20"/>
  <c r="K138" i="20"/>
  <c r="I138" i="20"/>
  <c r="H25" i="24"/>
  <c r="C24" i="24"/>
  <c r="D2" i="24"/>
  <c r="G2" i="24"/>
  <c r="G25" i="24" s="1"/>
  <c r="H121" i="20"/>
  <c r="G136" i="20" l="1"/>
  <c r="J137" i="20"/>
  <c r="K137" i="20"/>
  <c r="I137" i="20"/>
  <c r="H30" i="24"/>
  <c r="I2" i="24"/>
  <c r="I25" i="24" s="1"/>
  <c r="I30" i="24" s="1"/>
  <c r="D24" i="24"/>
  <c r="K136" i="20" l="1"/>
  <c r="G135" i="20"/>
  <c r="J136" i="20"/>
  <c r="I136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34" i="20" l="1"/>
  <c r="K135" i="20"/>
  <c r="J135" i="20"/>
  <c r="I135" i="20"/>
  <c r="F137" i="15"/>
  <c r="F136" i="15"/>
  <c r="G133" i="20" l="1"/>
  <c r="J134" i="20"/>
  <c r="K134" i="20"/>
  <c r="I134" i="20"/>
  <c r="G132" i="20" l="1"/>
  <c r="J133" i="20"/>
  <c r="I133" i="20"/>
  <c r="K133" i="20"/>
  <c r="H120" i="20"/>
  <c r="G131" i="20" l="1"/>
  <c r="I132" i="20"/>
  <c r="J132" i="20"/>
  <c r="K132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30" i="20" l="1"/>
  <c r="J131" i="20"/>
  <c r="I131" i="20"/>
  <c r="K131" i="20"/>
  <c r="D42" i="22"/>
  <c r="I130" i="20" l="1"/>
  <c r="J130" i="20"/>
  <c r="G129" i="20"/>
  <c r="K130" i="20"/>
  <c r="G30" i="10"/>
  <c r="G31" i="10"/>
  <c r="G33" i="10"/>
  <c r="G34" i="10"/>
  <c r="G35" i="10"/>
  <c r="G29" i="10"/>
  <c r="G128" i="20" l="1"/>
  <c r="I129" i="20"/>
  <c r="K129" i="20"/>
  <c r="J129" i="20"/>
  <c r="H119" i="20"/>
  <c r="H118" i="20"/>
  <c r="G127" i="20" l="1"/>
  <c r="J128" i="20"/>
  <c r="K128" i="20"/>
  <c r="I128" i="20"/>
  <c r="G63" i="13"/>
  <c r="F52" i="13"/>
  <c r="G126" i="20" l="1"/>
  <c r="I127" i="20"/>
  <c r="K127" i="20"/>
  <c r="J127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25" i="20" l="1"/>
  <c r="K126" i="20"/>
  <c r="J126" i="20"/>
  <c r="G61" i="13"/>
  <c r="G124" i="20" l="1"/>
  <c r="J125" i="20"/>
  <c r="G60" i="13"/>
  <c r="G123" i="20" l="1"/>
  <c r="J124" i="20"/>
  <c r="G59" i="13"/>
  <c r="F47" i="13"/>
  <c r="F48" i="13"/>
  <c r="F49" i="13"/>
  <c r="F50" i="13"/>
  <c r="F51" i="13"/>
  <c r="F53" i="13"/>
  <c r="F54" i="13"/>
  <c r="F55" i="13"/>
  <c r="D44" i="21"/>
  <c r="H116" i="20"/>
  <c r="G122" i="20" l="1"/>
  <c r="J123" i="20"/>
  <c r="G57" i="13"/>
  <c r="G58" i="13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G56" i="13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70" i="18" s="1"/>
  <c r="D321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7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70" i="18" s="1"/>
  <c r="F24" i="18" s="1"/>
  <c r="L71" i="18" l="1"/>
  <c r="E33" i="13"/>
  <c r="G34" i="13"/>
  <c r="I97" i="20"/>
  <c r="K97" i="20"/>
  <c r="J97" i="20"/>
  <c r="F108" i="15"/>
  <c r="C20" i="18"/>
  <c r="G20" i="14"/>
  <c r="G21" i="14"/>
  <c r="L72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314" i="20" s="1"/>
  <c r="J2" i="20"/>
  <c r="J314" i="20" s="1"/>
  <c r="I2" i="20"/>
  <c r="I314" i="20" s="1"/>
  <c r="F13" i="15"/>
  <c r="I317" i="20" l="1"/>
  <c r="J317" i="20"/>
  <c r="K317" i="20"/>
  <c r="F12" i="15"/>
  <c r="J321" i="20" l="1"/>
  <c r="K32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V128" i="18" l="1"/>
  <c r="U130" i="18"/>
  <c r="V130" i="18" s="1"/>
</calcChain>
</file>

<file path=xl/sharedStrings.xml><?xml version="1.0" encoding="utf-8"?>
<sst xmlns="http://schemas.openxmlformats.org/spreadsheetml/2006/main" count="10560" uniqueCount="4768">
  <si>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</si>
  <si>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</si>
  <si>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</si>
  <si>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</si>
  <si>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</si>
  <si>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</si>
  <si>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</si>
  <si>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</si>
  <si>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</si>
  <si>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</si>
  <si>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</si>
  <si>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</si>
  <si>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</si>
  <si>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</si>
  <si>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</si>
  <si>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</si>
  <si>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</si>
  <si>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</si>
  <si>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</si>
  <si>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</si>
  <si>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</si>
  <si>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</si>
  <si>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</si>
  <si>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</si>
  <si>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</si>
  <si>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</si>
  <si>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</si>
  <si>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</si>
  <si>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</si>
  <si>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</si>
  <si>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</si>
  <si>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</si>
  <si>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</si>
  <si>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</si>
  <si>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</si>
  <si>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</si>
  <si>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</si>
  <si>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</si>
  <si>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</si>
  <si>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</si>
  <si>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</si>
  <si>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</si>
  <si>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</si>
  <si>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</si>
  <si>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</si>
  <si>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</si>
  <si>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</si>
  <si>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</si>
  <si>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</si>
  <si>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</si>
  <si>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</si>
  <si>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</si>
  <si>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</si>
  <si>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</si>
  <si>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</si>
  <si>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</si>
  <si>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</si>
  <si>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</si>
  <si>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</si>
  <si>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</si>
  <si>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</si>
  <si>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</si>
  <si>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</si>
  <si>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</si>
  <si>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</si>
  <si>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</si>
  <si>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</si>
  <si>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</si>
  <si>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</si>
  <si>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</si>
  <si>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</si>
  <si>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</si>
  <si>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</si>
  <si>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</si>
  <si>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</si>
  <si>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</si>
  <si>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</si>
  <si>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</si>
  <si>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</si>
  <si>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</si>
  <si>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</si>
  <si>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</si>
  <si>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</si>
  <si>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</si>
  <si>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</si>
  <si>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</si>
  <si>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</si>
  <si>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</si>
  <si>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</si>
  <si>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</si>
  <si>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</si>
  <si>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</si>
  <si>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</si>
  <si>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</si>
  <si>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</si>
  <si>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</si>
  <si>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</si>
  <si>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</si>
  <si>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</si>
  <si>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</si>
  <si>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</si>
  <si>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</si>
  <si>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</si>
  <si>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</si>
  <si>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</si>
  <si>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</si>
  <si>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</si>
  <si>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</si>
  <si>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</si>
  <si>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</si>
  <si>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</si>
  <si>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</si>
  <si>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</si>
  <si>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</si>
  <si>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</si>
  <si>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</si>
  <si>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</si>
  <si>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</si>
  <si>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</si>
  <si>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</si>
  <si>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</si>
  <si>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</si>
  <si>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</si>
  <si>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</si>
  <si>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</si>
  <si>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</si>
  <si>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</si>
  <si>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</si>
  <si>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</si>
  <si>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</si>
  <si>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</si>
  <si>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</si>
  <si>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</si>
  <si>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</si>
  <si>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</si>
  <si>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</si>
  <si>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</si>
  <si>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</si>
  <si>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</si>
  <si>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</si>
  <si>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</si>
  <si>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</si>
  <si>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</si>
  <si>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</si>
  <si>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</si>
  <si>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</si>
  <si>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</si>
  <si>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</si>
  <si>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</si>
  <si>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</si>
  <si>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</si>
  <si>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</si>
  <si>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</si>
  <si>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</si>
  <si>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</si>
  <si>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</si>
  <si>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</si>
  <si>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</si>
  <si>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</si>
  <si>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</si>
  <si>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</si>
  <si>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</si>
  <si>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</si>
  <si>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</si>
  <si>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</si>
  <si>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</si>
  <si>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</si>
  <si>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</si>
  <si>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</si>
  <si>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</si>
  <si>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</si>
  <si>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</si>
  <si>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</si>
  <si>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</si>
  <si>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</si>
  <si>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</si>
  <si>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</si>
  <si>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</si>
  <si>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</si>
  <si>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</si>
  <si>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</si>
  <si>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</si>
  <si>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</si>
  <si>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</si>
  <si>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</si>
  <si>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</si>
  <si>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</si>
  <si>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</si>
  <si>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</si>
  <si>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</si>
  <si>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</si>
  <si>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</si>
  <si>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</si>
  <si>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</si>
  <si>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</si>
  <si>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</si>
  <si>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</si>
  <si>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</si>
  <si>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</si>
  <si>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</si>
  <si>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</si>
  <si>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</si>
  <si>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</si>
  <si>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</si>
  <si>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</si>
  <si>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</si>
  <si>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</si>
  <si>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</si>
  <si>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</si>
  <si>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</si>
  <si>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</si>
  <si>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</si>
  <si>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</si>
  <si>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</si>
  <si>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</si>
  <si>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</si>
  <si>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</si>
  <si>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</si>
  <si>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</si>
  <si>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</si>
  <si>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</si>
  <si>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</si>
  <si>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</si>
  <si>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</si>
  <si>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</si>
  <si>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</si>
  <si>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</si>
  <si>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</si>
  <si>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</si>
  <si>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</si>
  <si>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</si>
  <si>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</si>
  <si>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</si>
  <si>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</si>
  <si>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</si>
  <si>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</si>
  <si>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</si>
  <si>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</si>
  <si>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</si>
  <si>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</si>
  <si>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</si>
  <si>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</si>
  <si>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</si>
  <si>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</si>
  <si>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</si>
  <si>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</si>
  <si>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</si>
  <si>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</si>
  <si>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</si>
  <si>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</si>
  <si>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</si>
  <si>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</si>
  <si>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</si>
  <si>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</si>
  <si>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</si>
  <si>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</si>
  <si>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</si>
  <si>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</si>
  <si>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</si>
  <si>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</si>
  <si>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</si>
  <si>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</si>
  <si>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</si>
  <si>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</si>
  <si>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</si>
  <si>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</si>
  <si>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</si>
  <si>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</si>
  <si>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</si>
  <si>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</si>
  <si>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</si>
  <si>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</si>
  <si>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</si>
  <si>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</si>
  <si>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</si>
  <si>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</si>
  <si>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</si>
  <si>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</si>
  <si>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</si>
  <si>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</si>
  <si>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</si>
  <si>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</si>
  <si>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</si>
  <si>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</si>
  <si>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</si>
  <si>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</si>
  <si>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</si>
  <si>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</si>
  <si>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</si>
  <si>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</si>
  <si>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</si>
  <si>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</si>
  <si>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</si>
  <si>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</si>
  <si>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</si>
  <si>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</si>
  <si>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</si>
  <si>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</si>
  <si>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</si>
  <si>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</si>
  <si>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</si>
  <si>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</si>
  <si>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</si>
  <si>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</si>
  <si>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</si>
  <si>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</si>
  <si>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</si>
  <si>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</si>
  <si>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</si>
  <si>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</si>
  <si>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</si>
  <si>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</si>
  <si>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</si>
  <si>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</si>
  <si>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</si>
  <si>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</si>
  <si>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</si>
  <si>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</si>
  <si>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</si>
  <si>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</si>
  <si>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</si>
  <si>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</si>
  <si>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</si>
  <si>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</si>
  <si>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</si>
  <si>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</si>
  <si>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</si>
  <si>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</si>
  <si>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</si>
  <si>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</si>
  <si>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</si>
  <si>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</si>
  <si>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</si>
  <si>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</si>
  <si>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</si>
  <si>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</si>
  <si>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</si>
  <si>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</si>
  <si>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</si>
  <si>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</si>
  <si>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</si>
  <si>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</si>
  <si>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</si>
  <si>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</si>
  <si>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</si>
  <si>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</si>
  <si>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</si>
  <si>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</si>
  <si>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</si>
  <si>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</si>
  <si>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</si>
  <si>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</si>
  <si>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</si>
  <si>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</si>
  <si>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</si>
  <si>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</si>
  <si>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</si>
  <si>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</si>
  <si>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</si>
  <si>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</si>
  <si>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</si>
  <si>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</si>
  <si>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</si>
  <si>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</si>
  <si>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</si>
  <si>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</si>
  <si>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</si>
  <si>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</si>
  <si>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</si>
  <si>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</si>
  <si>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</si>
  <si>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</si>
  <si>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</si>
  <si>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</si>
  <si>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</si>
  <si>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</si>
  <si>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</si>
  <si>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</si>
  <si>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</si>
  <si>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</si>
  <si>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</si>
  <si>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</si>
  <si>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</si>
  <si>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</si>
  <si>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</si>
  <si>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</si>
  <si>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</si>
  <si>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</si>
  <si>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</si>
  <si>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</si>
  <si>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</si>
  <si>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</si>
  <si>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</si>
  <si>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</si>
  <si>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</si>
  <si>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</si>
  <si>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</si>
  <si>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</si>
  <si>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</si>
  <si>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</si>
  <si>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</si>
  <si>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</si>
  <si>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</si>
  <si>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</si>
  <si>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</si>
  <si>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</si>
  <si>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</si>
  <si>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</si>
  <si>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</si>
  <si>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</si>
  <si>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</si>
  <si>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</si>
  <si>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</si>
  <si>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</si>
  <si>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</si>
  <si>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</si>
  <si>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</si>
  <si>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</si>
  <si>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</si>
  <si>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</si>
  <si>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</si>
  <si>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</si>
  <si>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</si>
  <si>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</si>
  <si>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</si>
  <si>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</si>
  <si>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</si>
  <si>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</si>
  <si>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</si>
  <si>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</si>
  <si>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</si>
  <si>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</si>
  <si>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</si>
  <si>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</si>
  <si>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</si>
  <si>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</si>
  <si>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</si>
  <si>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</si>
  <si>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</si>
  <si>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</si>
  <si>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</si>
  <si>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</si>
  <si>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</si>
  <si>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</si>
  <si>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</si>
  <si>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</si>
  <si>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</si>
  <si>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</si>
  <si>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</si>
  <si>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</si>
  <si>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</si>
  <si>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</si>
  <si>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</si>
  <si>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</si>
  <si>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</si>
  <si>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</si>
  <si>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</si>
  <si>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</si>
  <si>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</si>
  <si>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</si>
  <si>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</si>
  <si>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</si>
  <si>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</si>
  <si>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</si>
  <si>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</si>
  <si>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</si>
  <si>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</si>
  <si>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</si>
  <si>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</si>
  <si>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</si>
  <si>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</si>
  <si>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</si>
  <si>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</si>
  <si>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</si>
  <si>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</si>
  <si>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</si>
  <si>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</si>
  <si>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</si>
  <si>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</si>
  <si>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</si>
  <si>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</si>
  <si>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</si>
  <si>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</si>
  <si>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</si>
  <si>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</si>
  <si>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</si>
  <si>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</si>
  <si>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</si>
  <si>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</si>
  <si>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</si>
  <si>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</si>
  <si>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</si>
  <si>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</si>
  <si>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</si>
  <si>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</si>
  <si>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</si>
  <si>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</si>
  <si>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</si>
  <si>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</si>
  <si>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</si>
  <si>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</si>
  <si>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</si>
  <si>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</si>
  <si>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</si>
  <si>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</si>
  <si>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</si>
  <si>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</si>
  <si>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</si>
  <si>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</si>
  <si>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</si>
  <si>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</si>
  <si>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</si>
  <si>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</si>
  <si>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</si>
  <si>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</si>
  <si>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</si>
  <si>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</si>
  <si>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</si>
  <si>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</si>
  <si>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</si>
  <si>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</si>
  <si>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</si>
  <si>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</si>
  <si>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</si>
  <si>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</si>
  <si>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</si>
  <si>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</si>
  <si>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</si>
  <si>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</si>
  <si>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</si>
  <si>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</si>
  <si>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</si>
  <si>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</si>
  <si>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</si>
  <si>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</si>
  <si>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</si>
  <si>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</si>
  <si>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</si>
  <si>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</si>
  <si>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</si>
  <si>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</si>
  <si>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</si>
  <si>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</si>
  <si>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</si>
  <si>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</si>
  <si>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</si>
  <si>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</si>
  <si>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</si>
  <si>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</si>
  <si>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</si>
  <si>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</si>
  <si>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</si>
  <si>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</si>
  <si>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</si>
  <si>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</si>
  <si>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</si>
  <si>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</si>
  <si>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</si>
  <si>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</si>
  <si>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</si>
  <si>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</si>
  <si>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</si>
  <si>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</si>
  <si>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</si>
  <si>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</si>
  <si>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</si>
  <si>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</si>
  <si>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</si>
  <si>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</si>
  <si>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</si>
  <si>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</si>
  <si>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</si>
  <si>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</si>
  <si>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</si>
  <si>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</si>
  <si>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</si>
  <si>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</si>
  <si>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</si>
  <si>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</si>
  <si>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</si>
  <si>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</si>
  <si>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</si>
  <si>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</si>
  <si>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</si>
  <si>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</si>
  <si>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</si>
  <si>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</si>
  <si>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</si>
  <si>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</si>
  <si>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</si>
  <si>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</si>
  <si>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</si>
  <si>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</si>
  <si>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</si>
  <si>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</si>
  <si>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</si>
  <si>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</si>
  <si>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</si>
  <si>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</si>
  <si>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</si>
  <si>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</si>
  <si>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</si>
  <si>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</si>
  <si>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</si>
  <si>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</si>
  <si>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</si>
  <si>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</si>
  <si>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</si>
  <si>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</si>
  <si>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</si>
  <si>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</si>
  <si>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</si>
  <si>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</si>
  <si>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</si>
  <si>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</si>
  <si>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</si>
  <si>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</si>
  <si>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</si>
  <si>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</si>
  <si>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</si>
  <si>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</si>
  <si>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</si>
  <si>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</si>
  <si>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</si>
  <si>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</si>
  <si>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</si>
  <si>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</si>
  <si>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</si>
  <si>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</si>
  <si>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</si>
  <si>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</si>
  <si>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</si>
  <si>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</si>
  <si>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</si>
  <si>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</si>
  <si>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</si>
  <si>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</si>
  <si>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</si>
  <si>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</si>
  <si>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</si>
  <si>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</si>
  <si>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</si>
  <si>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</si>
  <si>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</si>
  <si>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</si>
  <si>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</si>
  <si>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</si>
  <si>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</si>
  <si>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</si>
  <si>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</si>
  <si>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</si>
  <si>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</si>
  <si>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</si>
  <si>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</si>
  <si>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</si>
  <si>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</si>
  <si>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</si>
  <si>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</si>
  <si>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</si>
  <si>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</si>
  <si>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</si>
  <si>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</si>
  <si>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</si>
  <si>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</si>
  <si>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</si>
  <si>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</si>
  <si>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</si>
  <si>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</si>
  <si>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</si>
  <si>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</si>
  <si>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</si>
  <si>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</si>
  <si>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</si>
  <si>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</si>
  <si>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</si>
  <si>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</si>
  <si>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</si>
  <si>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</si>
  <si>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</si>
  <si>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</si>
  <si>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</si>
  <si>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</si>
  <si>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</si>
  <si>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</si>
  <si>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</si>
  <si>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</si>
  <si>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</si>
  <si>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</si>
  <si>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</si>
  <si>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</si>
  <si>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</si>
  <si>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</si>
  <si>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</si>
  <si>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</si>
  <si>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</si>
  <si>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</si>
  <si>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</si>
  <si>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</si>
  <si>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</si>
  <si>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</si>
  <si>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</si>
  <si>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</si>
  <si>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</si>
  <si>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</si>
  <si>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</si>
  <si>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</si>
  <si>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</si>
  <si>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</si>
  <si>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</si>
  <si>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</si>
  <si>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</si>
  <si>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</si>
  <si>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</si>
  <si>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</si>
  <si>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</si>
  <si>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</si>
  <si>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</si>
  <si>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</si>
  <si>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</si>
  <si>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</si>
  <si>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</si>
  <si>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</si>
  <si>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</si>
  <si>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</si>
  <si>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</si>
  <si>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</si>
  <si>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</si>
  <si>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</si>
  <si>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</si>
  <si>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</si>
  <si>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</si>
  <si>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</si>
  <si>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</si>
  <si>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</si>
  <si>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</si>
  <si>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</si>
  <si>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</si>
  <si>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</si>
  <si>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</si>
  <si>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</si>
  <si>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</si>
  <si>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</si>
  <si>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</si>
  <si>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</si>
  <si>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</si>
  <si>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</si>
  <si>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</si>
  <si>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</si>
  <si>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</si>
  <si>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</si>
  <si>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</si>
  <si>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</si>
  <si>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</si>
  <si>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</si>
  <si>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</si>
  <si>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</si>
  <si>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</si>
  <si>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</si>
  <si>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</si>
  <si>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</si>
  <si>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</si>
  <si>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</si>
  <si>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</si>
  <si>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</si>
  <si>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</si>
  <si>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</si>
  <si>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</si>
  <si>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</si>
  <si>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</si>
  <si>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</si>
  <si>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</si>
  <si>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</si>
  <si>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</si>
  <si>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</si>
  <si>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</si>
  <si>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</si>
  <si>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</si>
  <si>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</si>
  <si>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</si>
  <si>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</si>
  <si>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</si>
  <si>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</si>
  <si>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</si>
  <si>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</si>
  <si>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</si>
  <si>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</si>
  <si>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</si>
  <si>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</si>
  <si>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</si>
  <si>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</si>
  <si>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</si>
  <si>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</si>
  <si>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</si>
  <si>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</si>
  <si>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</si>
  <si>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</si>
  <si>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</si>
  <si>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</si>
  <si>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</si>
  <si>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</si>
  <si>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</si>
  <si>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</si>
  <si>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</si>
  <si>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</si>
  <si>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</si>
  <si>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</si>
  <si>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</si>
  <si>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</si>
  <si>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</si>
  <si>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</si>
  <si>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</si>
  <si>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</si>
  <si>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</si>
  <si>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</si>
  <si>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</si>
  <si>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</si>
  <si>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</si>
  <si>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</si>
  <si>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</si>
  <si>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</si>
  <si>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</si>
  <si>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</si>
  <si>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</si>
  <si>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</si>
  <si>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</si>
  <si>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</si>
  <si>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</si>
  <si>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</si>
  <si>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</si>
  <si>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</si>
  <si>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</si>
  <si>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</si>
  <si>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</si>
  <si>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</si>
  <si>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</si>
  <si>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</si>
  <si>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</si>
  <si>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</si>
  <si>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</si>
  <si>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</si>
  <si>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</si>
  <si>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</si>
  <si>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</si>
  <si>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</si>
  <si>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</si>
  <si>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</si>
  <si>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</si>
  <si>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</si>
  <si>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</si>
  <si>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</si>
  <si>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</si>
  <si>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</si>
  <si>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</si>
  <si>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</si>
  <si>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</si>
  <si>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</si>
  <si>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</si>
  <si>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</si>
  <si>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</si>
  <si>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</si>
  <si>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</si>
  <si>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</si>
  <si>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</si>
  <si>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</si>
  <si>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</si>
  <si>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</si>
  <si>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</si>
  <si>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</si>
  <si>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</si>
  <si>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</si>
  <si>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</si>
  <si>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</si>
  <si>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</si>
  <si>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</si>
  <si>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</si>
  <si>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</si>
  <si>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</si>
  <si>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</si>
  <si>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</si>
  <si>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</si>
  <si>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</si>
  <si>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</si>
  <si>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</si>
  <si>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</si>
  <si>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</si>
  <si>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</si>
  <si>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</si>
  <si>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</si>
  <si>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</si>
  <si>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</si>
  <si>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</si>
  <si>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</si>
  <si>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</si>
  <si>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</si>
  <si>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</si>
  <si>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</si>
  <si>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</si>
  <si>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</si>
  <si>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</si>
  <si>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</si>
  <si>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</si>
  <si>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</si>
  <si>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</si>
  <si>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</si>
  <si>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</si>
  <si>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</si>
  <si>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</si>
  <si>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</si>
  <si>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</si>
  <si>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</si>
  <si>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</si>
  <si>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</si>
  <si>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</si>
  <si>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</si>
  <si>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</si>
  <si>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</si>
  <si>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</si>
  <si>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</si>
  <si>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</si>
  <si>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</si>
  <si>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</si>
  <si>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</si>
  <si>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</si>
  <si>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</si>
  <si>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</si>
  <si>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</si>
  <si>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</si>
  <si>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</si>
  <si>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</si>
  <si>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</si>
  <si>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</si>
  <si>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</si>
  <si>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</si>
  <si>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</si>
  <si>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</si>
  <si>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</si>
  <si>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</si>
  <si>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</si>
  <si>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</si>
  <si>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</si>
  <si>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</si>
  <si>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</si>
  <si>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</si>
  <si>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</si>
  <si>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</si>
  <si>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</si>
  <si>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</si>
  <si>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</si>
  <si>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</si>
  <si>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</si>
  <si>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</si>
  <si>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</si>
  <si>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</si>
  <si>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</si>
  <si>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</si>
  <si>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</si>
  <si>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</si>
  <si>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</si>
  <si>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</si>
  <si>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</si>
  <si>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</si>
  <si>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</si>
  <si>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</si>
  <si>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</si>
  <si>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</si>
  <si>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</si>
  <si>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</si>
  <si>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</si>
  <si>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</si>
  <si>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</si>
  <si>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</si>
  <si>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</si>
  <si>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</si>
  <si>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</si>
  <si>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</si>
  <si>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</si>
  <si>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</si>
  <si>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</si>
  <si>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</si>
  <si>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</si>
  <si>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</si>
  <si>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</si>
  <si>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</si>
  <si>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</si>
  <si>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</si>
  <si>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</si>
  <si>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</si>
  <si>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</si>
  <si>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</si>
  <si>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</si>
  <si>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</si>
  <si>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</si>
  <si>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</si>
  <si>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</si>
  <si>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</si>
  <si>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</si>
  <si>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</si>
  <si>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</si>
  <si>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</si>
  <si>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</si>
  <si>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</si>
  <si>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</si>
  <si>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</si>
  <si>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</si>
  <si>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</si>
  <si>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</si>
  <si>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</si>
  <si>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</si>
  <si>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</si>
  <si>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</si>
  <si>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</si>
  <si>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</si>
  <si>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</si>
  <si>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</si>
  <si>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</si>
  <si>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</si>
  <si>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</si>
  <si>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</si>
  <si>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</si>
  <si>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</si>
  <si>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</si>
  <si>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</si>
  <si>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</si>
  <si>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</si>
  <si>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</si>
  <si>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</si>
  <si>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</si>
  <si>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</si>
  <si>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</si>
  <si>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</si>
  <si>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</si>
  <si>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</si>
  <si>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</si>
  <si>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</si>
  <si>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</si>
  <si>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</si>
  <si>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</si>
  <si>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</si>
  <si>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</si>
  <si>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</si>
  <si>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</si>
  <si>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</si>
  <si>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</si>
  <si>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</si>
  <si>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</si>
  <si>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</si>
  <si>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</si>
  <si>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</si>
  <si>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</si>
  <si>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</si>
  <si>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</si>
  <si>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</si>
  <si>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</si>
  <si>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</si>
  <si>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</si>
  <si>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</si>
  <si>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</si>
  <si>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</si>
  <si>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</si>
  <si>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</si>
  <si>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</si>
  <si>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</si>
  <si>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</si>
  <si>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</si>
  <si>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</si>
  <si>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</si>
  <si>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</si>
  <si>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</si>
  <si>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</si>
  <si>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</si>
  <si>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</si>
  <si>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</si>
  <si>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</si>
  <si>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</si>
  <si>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</si>
  <si>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</si>
  <si>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</si>
  <si>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</si>
  <si>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</si>
  <si>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</si>
  <si>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</si>
  <si>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</si>
  <si>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</si>
  <si>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</si>
  <si>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</si>
  <si>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</si>
  <si>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</si>
  <si>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</si>
  <si>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</si>
  <si>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</si>
  <si>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</si>
  <si>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</si>
  <si>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</si>
  <si>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</si>
  <si>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</si>
  <si>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</si>
  <si>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</si>
  <si>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</si>
  <si>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</si>
  <si>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</si>
  <si>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</si>
  <si>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</si>
  <si>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</si>
  <si>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</si>
  <si>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</si>
  <si>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</si>
  <si>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</si>
  <si>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</si>
  <si>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</si>
  <si>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</si>
  <si>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</si>
  <si>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</si>
  <si>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</si>
  <si>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</si>
  <si>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</si>
  <si>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</si>
  <si>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</si>
  <si>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</si>
  <si>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</si>
  <si>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</si>
  <si>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</si>
  <si>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</si>
  <si>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</si>
  <si>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</si>
  <si>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</si>
  <si>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</si>
  <si>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</si>
  <si>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</si>
  <si>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</si>
  <si>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</si>
  <si>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</si>
  <si>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</si>
  <si>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</si>
  <si>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</si>
  <si>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</si>
  <si>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</si>
  <si>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</si>
  <si>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</si>
  <si>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</si>
  <si>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</si>
  <si>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</si>
  <si>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</si>
  <si>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</si>
  <si>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</si>
  <si>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</si>
  <si>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</si>
  <si>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</si>
  <si>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</si>
  <si>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</si>
  <si>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</si>
  <si>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</si>
  <si>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</si>
  <si>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</si>
  <si>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</si>
  <si>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</si>
  <si>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</si>
  <si>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</si>
  <si>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</si>
  <si>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</si>
  <si>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</si>
  <si>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</si>
  <si>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</si>
  <si>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</si>
  <si>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</si>
  <si>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</si>
  <si>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</si>
  <si>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</si>
  <si>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</si>
  <si>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</si>
  <si>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</si>
  <si>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</si>
  <si>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</si>
  <si>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</si>
  <si>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</si>
  <si>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</si>
  <si>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</si>
  <si>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</si>
  <si>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</si>
  <si>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</si>
  <si>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</si>
  <si>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</si>
  <si>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</si>
  <si>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</si>
  <si>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</si>
  <si>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</si>
  <si>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</si>
  <si>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</si>
  <si>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</si>
  <si>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</si>
  <si>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</si>
  <si>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</si>
  <si>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</si>
  <si>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</si>
  <si>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</si>
  <si>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</si>
  <si>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</si>
  <si>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</si>
  <si>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</si>
  <si>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</si>
  <si>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</si>
  <si>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</si>
  <si>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</si>
  <si>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</si>
  <si>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</si>
  <si>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</si>
  <si>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</si>
  <si>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</si>
  <si>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</si>
  <si>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</si>
  <si>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</si>
  <si>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</si>
  <si>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</si>
  <si>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</si>
  <si>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</si>
  <si>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</si>
  <si>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</si>
  <si>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</si>
  <si>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</si>
  <si>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</si>
  <si>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</si>
  <si>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</si>
  <si>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</si>
  <si>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</si>
  <si>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</si>
  <si>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</si>
  <si>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</si>
  <si>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</si>
  <si>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</si>
  <si>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</si>
  <si>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</si>
  <si>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</si>
  <si>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</si>
  <si>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</si>
  <si>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</si>
  <si>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</si>
  <si>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</si>
  <si>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</si>
  <si>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</si>
  <si>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</si>
  <si>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</si>
  <si>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</si>
  <si>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</si>
  <si>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</si>
  <si>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</si>
  <si>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</si>
  <si>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</si>
  <si>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</si>
  <si>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</si>
  <si>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</si>
  <si>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</si>
  <si>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</si>
  <si>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</si>
  <si>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</si>
  <si>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</si>
  <si>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</si>
  <si>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</si>
  <si>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</si>
  <si>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</si>
  <si>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</si>
  <si>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</si>
  <si>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</si>
  <si>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</si>
  <si>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</si>
  <si>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</si>
  <si>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</si>
  <si>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</si>
  <si>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</si>
  <si>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</si>
  <si>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</si>
  <si>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</si>
  <si>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</si>
  <si>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</si>
  <si>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</si>
  <si>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</si>
  <si>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</si>
  <si>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</si>
  <si>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</si>
  <si>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</si>
  <si>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</si>
  <si>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</si>
  <si>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</si>
  <si>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</si>
  <si>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</si>
  <si>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</si>
  <si>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</si>
  <si>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</si>
  <si>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</si>
  <si>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</si>
  <si>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</si>
  <si>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</si>
  <si>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</si>
  <si>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</si>
  <si>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</si>
  <si>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</si>
  <si>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</si>
  <si>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</si>
  <si>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</si>
  <si>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</si>
  <si>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</si>
  <si>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</si>
  <si>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</si>
  <si>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</si>
  <si>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</si>
  <si>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</si>
  <si>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</si>
  <si>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</si>
  <si>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</si>
  <si>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</si>
  <si>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</si>
  <si>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</si>
  <si>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</si>
  <si>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</si>
  <si>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</si>
  <si>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</si>
  <si>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</si>
  <si>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</si>
  <si>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</si>
  <si>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</si>
  <si>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</si>
  <si>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</si>
  <si>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</si>
  <si>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</si>
  <si>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</si>
  <si>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</si>
  <si>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</si>
  <si>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</si>
  <si>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</si>
  <si>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</si>
  <si>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</si>
  <si>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</si>
  <si>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</si>
  <si>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</si>
  <si>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</si>
  <si>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</si>
  <si>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</si>
  <si>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</si>
  <si>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</si>
  <si>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</si>
  <si>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</si>
  <si>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</si>
  <si>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</si>
  <si>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</si>
  <si>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</si>
  <si>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</si>
  <si>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</si>
  <si>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</si>
  <si>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</si>
  <si>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</si>
  <si>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</si>
  <si>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</si>
  <si>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</si>
  <si>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</si>
  <si>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</si>
  <si>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</si>
  <si>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</si>
  <si>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</si>
  <si>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</si>
  <si>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</si>
  <si>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</si>
  <si>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</si>
  <si>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</si>
  <si>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</si>
  <si>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</si>
  <si>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</si>
  <si>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</si>
  <si>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</si>
  <si>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</si>
  <si>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</si>
  <si>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</si>
  <si>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</si>
  <si>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</si>
  <si>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</si>
  <si>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</si>
  <si>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</si>
  <si>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</si>
  <si>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</si>
  <si>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</si>
  <si>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</si>
  <si>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</si>
  <si>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</si>
  <si>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</si>
  <si>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</si>
  <si>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</si>
  <si>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</si>
  <si>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</si>
  <si>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</si>
  <si>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</si>
  <si>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</si>
  <si>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</si>
  <si>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</si>
  <si>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</si>
  <si>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</si>
  <si>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</si>
  <si>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</si>
  <si>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</si>
  <si>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</si>
  <si>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</si>
  <si>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</si>
  <si>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</si>
  <si>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</si>
  <si>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</si>
  <si>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</si>
  <si>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</si>
  <si>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</si>
  <si>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</si>
  <si>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</si>
  <si>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</si>
  <si>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</si>
  <si>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</si>
  <si>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</si>
  <si>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</si>
  <si>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</si>
  <si>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</si>
  <si>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</si>
  <si>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</si>
  <si>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</si>
  <si>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</si>
  <si>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</si>
  <si>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</si>
  <si>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</si>
  <si>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</si>
  <si>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</si>
  <si>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</si>
  <si>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</si>
  <si>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</si>
  <si>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</si>
  <si>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</si>
  <si>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</si>
  <si>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</si>
  <si>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</si>
  <si>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</si>
  <si>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</si>
  <si>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</si>
  <si>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</si>
  <si>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</si>
  <si>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</si>
  <si>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</si>
  <si>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</si>
  <si>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</si>
  <si>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</si>
  <si>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</si>
  <si>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</si>
  <si>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</si>
  <si>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</si>
  <si>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</si>
  <si>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</si>
  <si>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</si>
  <si>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</si>
  <si>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</si>
  <si>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</si>
  <si>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</si>
  <si>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</si>
  <si>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</si>
  <si>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</si>
  <si>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</si>
  <si>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</si>
  <si>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</si>
  <si>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</si>
  <si>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</si>
  <si>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</si>
  <si>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</si>
  <si>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</si>
  <si>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</si>
  <si>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</si>
  <si>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</si>
  <si>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</si>
  <si>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</si>
  <si>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</si>
  <si>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</si>
  <si>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</si>
  <si>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</si>
  <si>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</si>
  <si>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</si>
  <si>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</si>
  <si>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</si>
  <si>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</si>
  <si>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</si>
  <si>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</si>
  <si>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</si>
  <si>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</si>
  <si>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</si>
  <si>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</si>
  <si>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</si>
  <si>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</si>
  <si>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</si>
  <si>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</si>
  <si>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</si>
  <si>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</si>
  <si>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</si>
  <si>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</si>
  <si>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</si>
  <si>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</si>
  <si>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</si>
  <si>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</si>
  <si>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</si>
  <si>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</si>
  <si>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</si>
  <si>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</si>
  <si>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</si>
  <si>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</si>
  <si>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</si>
  <si>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</si>
  <si>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</si>
  <si>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</si>
  <si>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</si>
  <si>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</si>
  <si>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</si>
  <si>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</si>
  <si>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</si>
  <si>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</si>
  <si>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</si>
  <si>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</si>
  <si>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</si>
  <si>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</si>
  <si>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</si>
  <si>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</si>
  <si>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</si>
  <si>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</si>
  <si>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</si>
  <si>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</si>
  <si>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</si>
  <si>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</si>
  <si>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</si>
  <si>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</si>
  <si>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</si>
  <si>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</si>
  <si>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</si>
  <si>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</si>
  <si>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</si>
  <si>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</si>
  <si>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</si>
  <si>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</si>
  <si>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</si>
  <si>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</si>
  <si>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</si>
  <si>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</si>
  <si>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</si>
  <si>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</si>
  <si>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</si>
  <si>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</si>
  <si>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</si>
  <si>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</si>
  <si>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</si>
  <si>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</si>
  <si>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</si>
  <si>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</si>
  <si>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</si>
  <si>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</si>
  <si>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</si>
  <si>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</si>
  <si>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</si>
  <si>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</si>
  <si>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</si>
  <si>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</si>
  <si>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</si>
  <si>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</si>
  <si>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</si>
  <si>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</si>
  <si>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</si>
  <si>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</si>
  <si>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</si>
  <si>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</si>
  <si>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</si>
  <si>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</si>
  <si>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</si>
  <si>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</si>
  <si>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</si>
  <si>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</si>
  <si>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</si>
  <si>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</si>
  <si>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</si>
  <si>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</si>
  <si>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</si>
  <si>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</si>
  <si>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</si>
  <si>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</si>
  <si>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</si>
  <si>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</si>
  <si>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</si>
  <si>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</si>
  <si>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</si>
  <si>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</si>
  <si>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</si>
  <si>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</si>
  <si>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</si>
  <si>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</si>
  <si>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</si>
  <si>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</si>
  <si>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</si>
  <si>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</si>
  <si>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</si>
  <si>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</si>
  <si>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</si>
  <si>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</si>
  <si>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</si>
  <si>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</si>
  <si>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</si>
  <si>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</si>
  <si>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</si>
  <si>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</si>
  <si>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</si>
  <si>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</si>
  <si>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</si>
  <si>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</si>
  <si>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</si>
  <si>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</si>
  <si>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</si>
  <si>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</si>
  <si>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</si>
  <si>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</si>
  <si>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</si>
  <si>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</si>
  <si>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</si>
  <si>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</si>
  <si>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</si>
  <si>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</si>
  <si>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</si>
  <si>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</si>
  <si>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</si>
  <si>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</si>
  <si>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</si>
  <si>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</si>
  <si>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</si>
  <si>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</si>
  <si>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</si>
  <si>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</si>
  <si>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</si>
  <si>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</si>
  <si>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</si>
  <si>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</si>
  <si>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</si>
  <si>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</si>
  <si>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</si>
  <si>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</si>
  <si>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</si>
  <si>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</si>
  <si>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</si>
  <si>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</si>
  <si>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</si>
  <si>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</si>
  <si>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</si>
  <si>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</si>
  <si>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</si>
  <si>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</si>
  <si>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</si>
  <si>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</si>
  <si>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</si>
  <si>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</si>
  <si>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</si>
  <si>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</si>
  <si>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</si>
  <si>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</si>
  <si>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</si>
  <si>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</si>
  <si>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</si>
  <si>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</si>
  <si>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</si>
  <si>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</si>
  <si>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</si>
  <si>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</si>
  <si>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</si>
  <si>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</si>
  <si>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</si>
  <si>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</si>
  <si>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</si>
  <si>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</si>
  <si>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</si>
  <si>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</si>
  <si>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</si>
  <si>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</si>
  <si>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</si>
  <si>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</si>
  <si>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</si>
  <si>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</si>
  <si>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</si>
  <si>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</si>
  <si>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</si>
  <si>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</si>
  <si>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</si>
  <si>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</si>
  <si>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</si>
  <si>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</si>
  <si>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</si>
  <si>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</si>
  <si>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</si>
  <si>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</si>
  <si>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</si>
  <si>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</si>
  <si>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</si>
  <si>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</si>
  <si>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</si>
  <si>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</si>
  <si>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</si>
  <si>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</si>
  <si>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</si>
  <si>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</si>
  <si>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</si>
  <si>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</si>
  <si>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</si>
  <si>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</si>
  <si>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</si>
  <si>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</si>
  <si>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</si>
  <si>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</si>
  <si>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</si>
  <si>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</si>
  <si>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</si>
  <si>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</si>
  <si>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</si>
  <si>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</si>
  <si>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</si>
  <si>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</si>
  <si>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</si>
  <si>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</si>
  <si>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</si>
  <si>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</si>
  <si>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</si>
  <si>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</si>
  <si>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</si>
  <si>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</si>
  <si>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</si>
  <si>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</si>
  <si>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</si>
  <si>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</si>
  <si>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</si>
  <si>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</si>
  <si>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</si>
  <si>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</si>
  <si>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</si>
  <si>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</si>
  <si>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</si>
  <si>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</si>
  <si>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</si>
  <si>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</si>
  <si>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</si>
  <si>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</si>
  <si>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</si>
  <si>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</si>
  <si>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</si>
  <si>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</si>
  <si>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</si>
  <si>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</si>
  <si>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</si>
  <si>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</si>
  <si>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</si>
  <si>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</si>
  <si>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</si>
  <si>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</si>
  <si>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</si>
  <si>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</si>
  <si>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</si>
  <si>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</si>
  <si>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</si>
  <si>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</si>
  <si>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</si>
  <si>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</si>
  <si>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</si>
  <si>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</si>
  <si>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</si>
  <si>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</si>
  <si>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</si>
  <si>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</si>
  <si>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</si>
  <si>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</si>
  <si>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</si>
  <si>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</si>
  <si>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</si>
  <si>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</si>
  <si>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</si>
  <si>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</si>
  <si>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</si>
  <si>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</si>
  <si>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</si>
  <si>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</si>
  <si>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</si>
  <si>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</si>
  <si>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</si>
  <si>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</si>
  <si>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</si>
  <si>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</si>
  <si>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</si>
  <si>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</si>
  <si>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</si>
  <si>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</si>
  <si>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</si>
  <si>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</si>
  <si>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</si>
  <si>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</si>
  <si>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</si>
  <si>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</si>
  <si>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</si>
  <si>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</si>
  <si>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</si>
  <si>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</si>
  <si>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</si>
  <si>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</si>
  <si>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</si>
  <si>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</si>
  <si>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</si>
  <si>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</si>
  <si>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</si>
  <si>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</si>
  <si>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</si>
  <si>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</si>
  <si>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</si>
  <si>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</si>
  <si>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</si>
  <si>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</si>
  <si>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</si>
  <si>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</si>
  <si>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</si>
  <si>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</si>
  <si>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</si>
  <si>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</si>
  <si>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</si>
  <si>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</si>
  <si>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</si>
  <si>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</si>
  <si>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</si>
  <si>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</si>
  <si>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</si>
  <si>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</si>
  <si>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</si>
  <si>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</si>
  <si>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</si>
  <si>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</si>
  <si>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</si>
  <si>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</si>
  <si>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</si>
  <si>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</si>
  <si>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</si>
  <si>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</si>
  <si>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</si>
  <si>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</si>
  <si>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</si>
  <si>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</si>
  <si>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</si>
  <si>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</si>
  <si>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</si>
  <si>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</si>
  <si>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</si>
  <si>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</si>
  <si>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</si>
  <si>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</si>
  <si>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</si>
  <si>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</si>
  <si>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</si>
  <si>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</si>
  <si>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</si>
  <si>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</si>
  <si>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</si>
  <si>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</si>
  <si>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</si>
  <si>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</si>
  <si>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</si>
  <si>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</si>
  <si>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</si>
  <si>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</si>
  <si>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</si>
  <si>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</si>
  <si>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</si>
  <si>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</si>
  <si>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</si>
  <si>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</si>
  <si>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</si>
  <si>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</si>
  <si>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</si>
  <si>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</si>
  <si>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</si>
  <si>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</si>
  <si>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</si>
  <si>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</si>
  <si>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</si>
  <si>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</si>
  <si>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</si>
  <si>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</si>
  <si>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</si>
  <si>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</si>
  <si>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</si>
  <si>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</si>
  <si>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</si>
  <si>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</si>
  <si>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</si>
  <si>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</si>
  <si>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</si>
  <si>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</si>
  <si>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</si>
  <si>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</si>
  <si>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</si>
  <si>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</si>
  <si>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</si>
  <si>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</si>
  <si>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</si>
  <si>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</si>
  <si>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</si>
  <si>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</si>
  <si>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</si>
  <si>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</si>
  <si>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</si>
  <si>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</si>
  <si>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</si>
  <si>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</si>
  <si>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</si>
  <si>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</si>
  <si>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</si>
  <si>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</si>
  <si>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</si>
  <si>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</si>
  <si>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</si>
  <si>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</si>
  <si>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</si>
  <si>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</si>
  <si>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</si>
  <si>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</si>
  <si>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</si>
  <si>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</si>
  <si>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</si>
  <si>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</si>
  <si>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</si>
  <si>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</si>
  <si>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</si>
  <si>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</si>
  <si>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</si>
  <si>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</si>
  <si>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</si>
  <si>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</si>
  <si>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</si>
  <si>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</si>
  <si>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</si>
  <si>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</si>
  <si>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</si>
  <si>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</si>
  <si>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</si>
  <si>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</si>
  <si>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</si>
  <si>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</si>
  <si>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</si>
  <si>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</si>
  <si>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</si>
  <si>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</si>
  <si>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</si>
  <si>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</si>
  <si>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</si>
  <si>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</si>
  <si>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</si>
  <si>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</si>
  <si>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</si>
  <si>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</si>
  <si>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</si>
  <si>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</si>
  <si>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</si>
  <si>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</si>
  <si>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</si>
  <si>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</si>
  <si>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</si>
  <si>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</si>
  <si>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</si>
  <si>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</si>
  <si>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</si>
  <si>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</si>
  <si>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</si>
  <si>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</si>
  <si>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</si>
  <si>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</si>
  <si>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</si>
  <si>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</si>
  <si>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</si>
  <si>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</si>
  <si>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</si>
  <si>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</si>
  <si>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</si>
  <si>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</si>
  <si>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</si>
  <si>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</si>
  <si>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</si>
  <si>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</si>
  <si>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</si>
  <si>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</si>
  <si>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</si>
  <si>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</si>
  <si>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</si>
  <si>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</si>
  <si>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</si>
  <si>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</si>
  <si>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</si>
  <si>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</si>
  <si>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</si>
  <si>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</si>
  <si>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</si>
  <si>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</si>
  <si>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</si>
  <si>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</si>
  <si>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</si>
  <si>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</si>
  <si>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</si>
  <si>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</si>
  <si>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</si>
  <si>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</si>
  <si>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</si>
  <si>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</si>
  <si>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</si>
  <si>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</si>
  <si>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</si>
  <si>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</si>
  <si>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</si>
  <si>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</si>
  <si>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</si>
  <si>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</si>
  <si>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</si>
  <si>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</si>
  <si>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</si>
  <si>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</si>
  <si>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</si>
  <si>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</si>
  <si>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</si>
  <si>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</si>
  <si>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</si>
  <si>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</si>
  <si>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</si>
  <si>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</si>
  <si>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</si>
  <si>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</si>
  <si>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</si>
  <si>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</si>
  <si>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</si>
  <si>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</si>
  <si>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</si>
  <si>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</si>
  <si>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</si>
  <si>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</si>
  <si>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</si>
  <si>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</si>
  <si>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</si>
  <si>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</si>
  <si>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</si>
  <si>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</si>
  <si>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</si>
  <si>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</si>
  <si>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</si>
  <si>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</si>
  <si>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</si>
  <si>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</si>
  <si>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</si>
  <si>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</si>
  <si>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</si>
  <si>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</si>
  <si>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</si>
  <si>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</si>
  <si>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</si>
  <si>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</si>
  <si>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</si>
  <si>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</si>
  <si>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</si>
  <si>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</si>
  <si>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</si>
  <si>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</si>
  <si>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</si>
  <si>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</si>
  <si>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</si>
  <si>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</si>
  <si>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</si>
  <si>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</si>
  <si>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</si>
  <si>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</si>
  <si>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</si>
  <si>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</si>
  <si>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</si>
  <si>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</si>
  <si>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</si>
  <si>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</si>
  <si>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</si>
  <si>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</si>
  <si>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</si>
  <si>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</si>
  <si>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</si>
  <si>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</si>
  <si>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</si>
  <si>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</si>
  <si>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</si>
  <si>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</si>
  <si>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</si>
  <si>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</si>
  <si>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</si>
  <si>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</si>
  <si>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</si>
  <si>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</si>
  <si>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</si>
  <si>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</si>
  <si>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</si>
  <si>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</si>
  <si>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</si>
  <si>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</si>
  <si>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</si>
  <si>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</si>
  <si>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</si>
  <si>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</si>
  <si>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</si>
  <si>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</si>
  <si>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</si>
  <si>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</si>
  <si>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</si>
  <si>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</si>
  <si>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</si>
  <si>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</si>
  <si>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</si>
  <si>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</si>
  <si>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</si>
  <si>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</si>
  <si>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</si>
  <si>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</si>
  <si>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</si>
  <si>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</si>
  <si>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</si>
  <si>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</si>
  <si>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</si>
  <si>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</si>
  <si>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</si>
  <si>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</si>
  <si>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</si>
  <si>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</si>
  <si>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</si>
  <si>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</si>
  <si>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</si>
  <si>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</si>
  <si>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</si>
  <si>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</si>
  <si>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</si>
  <si>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</si>
  <si>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</si>
  <si>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</si>
  <si>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</si>
  <si>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</si>
  <si>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</si>
  <si>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</si>
  <si>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</si>
  <si>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</si>
  <si>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</si>
  <si>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</si>
  <si>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</si>
  <si>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</si>
  <si>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</si>
  <si>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</si>
  <si>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</si>
  <si>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</si>
  <si>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</si>
  <si>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</si>
  <si>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</si>
  <si>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</si>
  <si>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</si>
  <si>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</si>
  <si>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</si>
  <si>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</si>
  <si>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</si>
  <si>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</si>
  <si>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</si>
  <si>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</si>
  <si>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</si>
  <si>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</si>
  <si>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</si>
  <si>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</si>
  <si>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</si>
  <si>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</si>
  <si>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</si>
  <si>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</si>
  <si>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</si>
  <si>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</si>
  <si>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</si>
  <si>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</si>
  <si>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</si>
  <si>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</si>
  <si>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</si>
  <si>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</si>
  <si>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</si>
  <si>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</si>
  <si>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</si>
  <si>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</si>
  <si>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</si>
  <si>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</si>
  <si>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</si>
  <si>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</si>
  <si>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</si>
  <si>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</si>
  <si>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</si>
  <si>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</si>
  <si>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</si>
  <si>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</si>
  <si>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</si>
  <si>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</si>
  <si>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</si>
  <si>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</si>
  <si>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</si>
  <si>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</si>
  <si>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</si>
  <si>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</si>
  <si>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</si>
  <si>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</si>
  <si>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</si>
  <si>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</si>
  <si>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</si>
  <si>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</si>
  <si>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</si>
  <si>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</si>
  <si>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</si>
  <si>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</si>
  <si>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</si>
  <si>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</si>
  <si>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</si>
  <si>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</si>
  <si>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</si>
  <si>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</si>
  <si>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</si>
  <si>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</si>
  <si>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</si>
  <si>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</si>
  <si>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</si>
  <si>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</si>
  <si>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</si>
  <si>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</si>
  <si>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</si>
  <si>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</si>
  <si>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</si>
  <si>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</si>
  <si>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</si>
  <si>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</si>
  <si>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</si>
  <si>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</si>
  <si>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</si>
  <si>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</si>
  <si>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</si>
  <si>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</si>
  <si>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</si>
  <si>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</si>
  <si>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</si>
  <si>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</si>
  <si>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</si>
  <si>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</si>
  <si>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</si>
  <si>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</si>
  <si>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</si>
  <si>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</si>
  <si>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</si>
  <si>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</si>
  <si>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</si>
  <si>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</si>
  <si>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</si>
  <si>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</si>
  <si>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</si>
  <si>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</si>
  <si>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</si>
  <si>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</si>
  <si>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</si>
  <si>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</si>
  <si>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</si>
  <si>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</si>
  <si>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</si>
  <si>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</si>
  <si>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</si>
  <si>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</si>
  <si>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</si>
  <si>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</si>
  <si>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</si>
  <si>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</si>
  <si>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</si>
  <si>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</si>
  <si>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</si>
  <si>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</si>
  <si>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</si>
  <si>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</si>
  <si>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</si>
  <si>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</si>
  <si>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</si>
  <si>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</si>
  <si>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</si>
  <si>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</si>
  <si>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</si>
  <si>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</si>
  <si>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</si>
  <si>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</si>
  <si>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</si>
  <si>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</si>
  <si>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</si>
  <si>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</si>
  <si>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</si>
  <si>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</si>
  <si>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</si>
  <si>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</si>
  <si>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</si>
  <si>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</si>
  <si>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</si>
  <si>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</si>
  <si>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</si>
  <si>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</si>
  <si>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</si>
  <si>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</si>
  <si>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</si>
  <si>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</si>
  <si>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</si>
  <si>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</si>
  <si>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</si>
  <si>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</si>
  <si>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</si>
  <si>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</si>
  <si>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</si>
  <si>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</si>
  <si>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</si>
  <si>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</si>
  <si>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</si>
  <si>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</si>
  <si>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</si>
  <si>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</si>
  <si>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</si>
  <si>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</si>
  <si>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</si>
  <si>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</si>
  <si>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</si>
  <si>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</si>
  <si>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</si>
  <si>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</si>
  <si>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</si>
  <si>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</si>
  <si>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</si>
  <si>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</si>
  <si>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</si>
  <si>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</si>
  <si>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</si>
  <si>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</si>
  <si>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</si>
  <si>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</si>
  <si>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</si>
  <si>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</si>
  <si>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</si>
  <si>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</si>
  <si>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</si>
  <si>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</si>
  <si>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</si>
  <si>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</si>
  <si>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</si>
  <si>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</si>
  <si>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</si>
  <si>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</si>
  <si>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</si>
  <si>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</si>
  <si>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</si>
  <si>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</si>
  <si>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</si>
  <si>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</si>
  <si>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</si>
  <si>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</si>
  <si>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</si>
  <si>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</si>
  <si>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</si>
  <si>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</si>
  <si>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</si>
  <si>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</si>
  <si>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</si>
  <si>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</si>
  <si>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</si>
  <si>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</si>
  <si>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</si>
  <si>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</si>
  <si>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</si>
  <si>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</si>
  <si>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</si>
  <si>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</si>
  <si>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</si>
  <si>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</si>
  <si>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</si>
  <si>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</si>
  <si>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</si>
  <si>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</si>
  <si>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</si>
  <si>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</si>
  <si>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</si>
  <si>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</si>
  <si>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</si>
  <si>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</si>
  <si>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</si>
  <si>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</si>
  <si>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</si>
  <si>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</si>
  <si>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</si>
  <si>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</si>
  <si>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</si>
  <si>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</si>
  <si>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</si>
  <si>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</si>
  <si>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</si>
  <si>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</si>
  <si>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</si>
  <si>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</si>
  <si>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</si>
  <si>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</si>
  <si>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</si>
  <si>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</si>
  <si>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</si>
  <si>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</si>
  <si>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</si>
  <si>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</si>
  <si>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</si>
  <si>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</si>
  <si>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</si>
  <si>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</si>
  <si>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</si>
  <si>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</si>
  <si>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</si>
  <si>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</si>
  <si>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</si>
  <si>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</si>
  <si>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</si>
  <si>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</si>
  <si>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</si>
  <si>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</si>
  <si>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</si>
  <si>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</si>
  <si>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</si>
  <si>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</si>
  <si>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</si>
  <si>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</si>
  <si>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</si>
  <si>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</si>
  <si>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</si>
  <si>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</si>
  <si>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</si>
  <si>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</si>
  <si>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</si>
  <si>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</si>
  <si>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</si>
  <si>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</si>
  <si>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</si>
  <si>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</si>
  <si>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</si>
  <si>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</si>
  <si>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</si>
  <si>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</si>
  <si>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</si>
  <si>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</si>
  <si>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</si>
  <si>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</si>
  <si>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</si>
  <si>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</si>
  <si>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</si>
  <si>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</si>
  <si>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</si>
  <si>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</si>
  <si>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</si>
  <si>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</si>
  <si>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</si>
  <si>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</si>
  <si>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</si>
  <si>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</si>
  <si>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</si>
  <si>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</si>
  <si>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</si>
  <si>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</si>
  <si>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</si>
  <si>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</si>
  <si>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</si>
  <si>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</si>
  <si>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</si>
  <si>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</si>
  <si>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</si>
  <si>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</si>
  <si>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</si>
  <si>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</si>
  <si>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</si>
  <si>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</si>
  <si>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</si>
  <si>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</si>
  <si>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</si>
  <si>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</si>
  <si>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</si>
  <si>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</si>
  <si>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</si>
  <si>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</si>
  <si>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</si>
  <si>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</si>
  <si>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</si>
  <si>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</si>
  <si>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</si>
  <si>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</si>
  <si>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</si>
  <si>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</si>
  <si>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</si>
  <si>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</si>
  <si>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</si>
  <si>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</si>
  <si>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</si>
  <si>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</si>
  <si>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</si>
  <si>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</si>
  <si>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</si>
  <si>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</si>
  <si>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</si>
  <si>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</si>
  <si>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</si>
  <si>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</si>
  <si>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</si>
  <si>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</si>
  <si>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</si>
  <si>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</si>
  <si>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</si>
  <si>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</si>
  <si>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</si>
  <si>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</si>
  <si>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</si>
  <si>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</si>
  <si>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</si>
  <si>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</si>
  <si>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</si>
  <si>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</si>
  <si>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</si>
  <si>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</si>
  <si>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</si>
  <si>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</si>
  <si>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</si>
  <si>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</si>
  <si>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</si>
  <si>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</si>
  <si>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</si>
  <si>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</si>
  <si>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</si>
  <si>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</si>
  <si>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</si>
  <si>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</si>
  <si>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</si>
  <si>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</si>
  <si>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</si>
  <si>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</si>
  <si>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</si>
  <si>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</si>
  <si>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</si>
  <si>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</si>
  <si>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</si>
  <si>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</si>
  <si>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</si>
  <si>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</si>
  <si>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</si>
  <si>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</si>
  <si>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</si>
  <si>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</si>
  <si>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</si>
  <si>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</si>
  <si>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</si>
  <si>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</si>
  <si>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</si>
  <si>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</si>
  <si>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</si>
  <si>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</si>
  <si>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</si>
  <si>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</si>
  <si>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</si>
  <si>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</si>
  <si>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</si>
  <si>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</si>
  <si>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</si>
  <si>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</si>
  <si>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</si>
  <si>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</si>
  <si>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</si>
  <si>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</si>
  <si>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</si>
  <si>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</si>
  <si>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</si>
  <si>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</si>
  <si>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</si>
  <si>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</si>
  <si>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</si>
  <si>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</si>
  <si>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</si>
  <si>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</si>
  <si>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</si>
  <si>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</si>
  <si>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</si>
  <si>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</si>
  <si>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</si>
  <si>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</si>
  <si>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</si>
  <si>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</si>
  <si>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</si>
  <si>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</si>
  <si>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</si>
  <si>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</si>
  <si>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</si>
  <si>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</si>
  <si>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</si>
  <si>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</si>
  <si>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</si>
  <si>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</si>
  <si>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</si>
  <si>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</si>
  <si>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</si>
  <si>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</si>
  <si>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</si>
  <si>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</si>
  <si>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</si>
  <si>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</si>
  <si>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</si>
  <si>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</si>
  <si>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</si>
  <si>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</si>
  <si>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</si>
  <si>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</si>
  <si>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</si>
  <si>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</si>
  <si>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</si>
  <si>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</si>
  <si>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</si>
  <si>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</si>
  <si>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</si>
  <si>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</si>
  <si>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</si>
  <si>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</si>
  <si>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</si>
  <si>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</si>
  <si>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</si>
  <si>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</si>
  <si>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</si>
  <si>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</si>
  <si>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</si>
  <si>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</si>
  <si>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</si>
  <si>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</si>
  <si>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</si>
  <si>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</si>
  <si>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</si>
  <si>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</si>
  <si>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</si>
  <si>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</si>
  <si>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</si>
  <si>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</si>
  <si>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</si>
  <si>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</si>
  <si>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</si>
  <si>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</si>
  <si>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</si>
  <si>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</si>
  <si>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</si>
  <si>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</si>
  <si>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</si>
  <si>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</si>
  <si>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</si>
  <si>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</si>
  <si>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</si>
  <si>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</si>
  <si>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</si>
  <si>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</si>
  <si>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</si>
  <si>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</si>
  <si>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</si>
  <si>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</si>
  <si>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</si>
  <si>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</si>
  <si>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</si>
  <si>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</si>
  <si>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</si>
  <si>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</si>
  <si>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</si>
  <si>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</si>
  <si>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</si>
  <si>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</si>
  <si>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</si>
  <si>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</si>
  <si>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</si>
  <si>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</si>
  <si>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</si>
  <si>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</si>
  <si>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</si>
  <si>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</si>
  <si>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</si>
  <si>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</si>
  <si>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</si>
  <si>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</si>
  <si>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</si>
  <si>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</si>
  <si>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</si>
  <si>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</si>
  <si>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</si>
  <si>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</si>
  <si>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</si>
  <si>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</si>
  <si>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</si>
  <si>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</si>
  <si>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</si>
  <si>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</si>
  <si>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</si>
  <si>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</si>
  <si>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</si>
  <si>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</si>
  <si>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</si>
  <si>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</si>
  <si>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</si>
  <si>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</si>
  <si>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</si>
  <si>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</si>
  <si>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</si>
  <si>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</si>
  <si>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</si>
  <si>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</si>
  <si>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</si>
  <si>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</si>
  <si>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</si>
  <si>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</si>
  <si>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</si>
  <si>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</si>
  <si>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</si>
  <si>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</si>
  <si>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</si>
  <si>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</si>
  <si>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</si>
  <si>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</si>
  <si>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</si>
  <si>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</si>
  <si>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</si>
  <si>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</si>
  <si>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</si>
  <si>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</si>
  <si>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</si>
  <si>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</si>
  <si>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</si>
  <si>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</si>
  <si>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</si>
  <si>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</si>
  <si>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</si>
  <si>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</si>
  <si>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</si>
  <si>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</si>
  <si>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</si>
  <si>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</si>
  <si>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</si>
  <si>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</si>
  <si>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</si>
  <si>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</si>
  <si>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</si>
  <si>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</si>
  <si>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</si>
  <si>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</si>
  <si>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</si>
  <si>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</si>
  <si>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</si>
  <si>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</si>
  <si>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</si>
  <si>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</si>
  <si>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</si>
  <si>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</si>
  <si>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</si>
  <si>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</si>
  <si>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</si>
  <si>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</si>
  <si>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</si>
  <si>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</si>
  <si>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</si>
  <si>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</si>
  <si>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</si>
  <si>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</si>
  <si>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</si>
  <si>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</si>
  <si>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</si>
  <si>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</si>
  <si>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</si>
  <si>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</si>
  <si>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</si>
  <si>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</si>
  <si>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</si>
  <si>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</si>
  <si>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</si>
  <si>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</si>
  <si>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</si>
  <si>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</si>
  <si>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</si>
  <si>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</si>
  <si>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</si>
  <si>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</si>
  <si>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</si>
  <si>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</si>
  <si>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</si>
  <si>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</si>
  <si>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</si>
  <si>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</si>
  <si>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</si>
  <si>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</si>
  <si>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</si>
  <si>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</si>
  <si>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</si>
  <si>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</si>
  <si>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</si>
  <si>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</si>
  <si>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</si>
  <si>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</si>
  <si>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</si>
  <si>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</si>
  <si>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</si>
  <si>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</si>
  <si>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</si>
  <si>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</si>
  <si>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</si>
  <si>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</si>
  <si>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</si>
  <si>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</si>
  <si>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</si>
  <si>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</si>
  <si>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</si>
  <si>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</si>
  <si>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</si>
  <si>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</si>
  <si>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</si>
  <si>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</si>
  <si>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</si>
  <si>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</si>
  <si>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</si>
  <si>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</si>
  <si>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</si>
  <si>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</si>
  <si>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</si>
  <si>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</si>
  <si>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</si>
  <si>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</si>
  <si>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</si>
  <si>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</si>
  <si>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</si>
  <si>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</si>
  <si>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</si>
  <si>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</si>
  <si>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</si>
  <si>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</si>
  <si>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</si>
  <si>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</si>
  <si>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</si>
  <si>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</si>
  <si>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</si>
  <si>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</si>
  <si>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</si>
  <si>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</si>
  <si>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</si>
  <si>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</si>
  <si>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</si>
  <si>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</si>
  <si>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</si>
  <si>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</si>
  <si>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</si>
  <si>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</si>
  <si>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</si>
  <si>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</si>
  <si>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</si>
  <si>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</si>
  <si>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</si>
  <si>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</si>
  <si>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</si>
  <si>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</si>
  <si>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</si>
  <si>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</si>
  <si>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</si>
  <si>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</si>
  <si>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</si>
  <si>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</si>
  <si>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</si>
  <si>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</si>
  <si>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</si>
  <si>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</si>
  <si>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</si>
  <si>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</si>
  <si>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</si>
  <si>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</si>
  <si>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</si>
  <si>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</si>
  <si>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</si>
  <si>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</si>
  <si>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</si>
  <si>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</si>
  <si>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</si>
  <si>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</si>
  <si>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</si>
  <si>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</si>
  <si>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</si>
  <si>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</si>
  <si>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</si>
  <si>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</si>
  <si>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</si>
  <si>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</si>
  <si>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</si>
  <si>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</si>
  <si>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</si>
  <si>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</si>
  <si>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</si>
  <si>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</si>
  <si>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</si>
  <si>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</si>
  <si>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</si>
  <si>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</si>
  <si>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</si>
  <si>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</si>
  <si>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</si>
  <si>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</si>
  <si>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</si>
  <si>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</si>
  <si>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</si>
  <si>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</si>
  <si>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</si>
  <si>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</si>
  <si>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</si>
  <si>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</si>
  <si>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</si>
  <si>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</si>
  <si>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</si>
  <si>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</si>
  <si>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</si>
  <si>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</si>
  <si>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</si>
  <si>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</si>
  <si>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</si>
  <si>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</si>
  <si>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</si>
  <si>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</si>
  <si>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</si>
  <si>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</si>
  <si>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</si>
  <si>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</si>
  <si>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</si>
  <si>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</si>
  <si>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</si>
  <si>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</si>
  <si>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</si>
  <si>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</si>
  <si>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</si>
  <si>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</si>
  <si>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</si>
  <si>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</si>
  <si>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</si>
  <si>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</si>
  <si>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</si>
  <si>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</si>
  <si>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</si>
  <si>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</si>
  <si>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</si>
  <si>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</si>
  <si>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</si>
  <si>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</si>
  <si>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</si>
  <si>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</si>
  <si>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</si>
  <si>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</si>
  <si>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</si>
  <si>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</si>
  <si>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</si>
  <si>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</si>
  <si>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</si>
  <si>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</si>
  <si>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</si>
  <si>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</si>
  <si>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</si>
  <si>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</si>
  <si>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</si>
  <si>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</si>
  <si>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</si>
  <si>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</si>
  <si>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</si>
  <si>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</si>
  <si>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</si>
  <si>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</si>
  <si>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</si>
  <si>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</si>
  <si>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</si>
  <si>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</si>
  <si>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</si>
  <si>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</si>
  <si>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</si>
  <si>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</si>
  <si>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</si>
  <si>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</si>
  <si>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</si>
  <si>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</si>
  <si>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</si>
  <si>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</si>
  <si>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</si>
  <si>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</si>
  <si>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</si>
  <si>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</si>
  <si>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</si>
  <si>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</si>
  <si>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</si>
  <si>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</si>
  <si>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</si>
  <si>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</si>
  <si>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</si>
  <si>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</si>
  <si>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</si>
  <si>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</si>
  <si>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</si>
  <si>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</si>
  <si>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</si>
  <si>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</si>
  <si>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</si>
  <si>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</si>
  <si>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</si>
  <si>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</si>
  <si>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</si>
  <si>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</si>
  <si>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</si>
  <si>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</si>
  <si>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</si>
  <si>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</si>
  <si>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</si>
  <si>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</si>
  <si>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</si>
  <si>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</si>
  <si>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</si>
  <si>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</si>
  <si>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</si>
  <si>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</si>
  <si>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</si>
  <si>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</si>
  <si>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</si>
  <si>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</si>
  <si>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</si>
  <si>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</si>
  <si>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</si>
  <si>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</si>
  <si>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</si>
  <si>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</si>
  <si>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</si>
  <si>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</si>
  <si>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</si>
  <si>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</si>
  <si>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</si>
  <si>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</si>
  <si>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</si>
  <si>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</si>
  <si>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</si>
  <si>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</si>
  <si>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</si>
  <si>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</si>
  <si>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</si>
  <si>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</si>
  <si>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</si>
  <si>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</si>
  <si>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</si>
  <si>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</si>
  <si>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</si>
  <si>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</si>
  <si>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</si>
  <si>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</si>
  <si>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</si>
  <si>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</si>
  <si>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</si>
  <si>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</si>
  <si>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</si>
  <si>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</si>
  <si>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</si>
  <si>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</si>
  <si>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</si>
  <si>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</si>
  <si>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</si>
  <si>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</si>
  <si>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</si>
  <si>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</si>
  <si>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</si>
  <si>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</si>
  <si>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</si>
  <si>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</si>
  <si>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</si>
  <si>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</si>
  <si>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</si>
  <si>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</si>
  <si>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</si>
  <si>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</si>
  <si>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</si>
  <si>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</si>
  <si>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</si>
  <si>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</si>
  <si>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</si>
  <si>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</si>
  <si>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</si>
  <si>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</si>
  <si>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</si>
  <si>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</si>
  <si>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</si>
  <si>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</si>
  <si>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</si>
  <si>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</si>
  <si>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</si>
  <si>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</si>
  <si>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</si>
  <si>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</si>
  <si>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</si>
  <si>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</si>
  <si>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</si>
  <si>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</si>
  <si>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</si>
  <si>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</si>
  <si>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</si>
  <si>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</si>
  <si>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</si>
  <si>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</si>
  <si>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</si>
  <si>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</si>
  <si>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</si>
  <si>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</si>
  <si>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</si>
  <si>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</si>
  <si>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</si>
  <si>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</si>
  <si>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</si>
  <si>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</si>
  <si>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</si>
  <si>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</si>
  <si>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</si>
  <si>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</si>
  <si>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</si>
  <si>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</si>
  <si>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</si>
  <si>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</si>
  <si>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</si>
  <si>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</si>
  <si>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</si>
  <si>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</si>
  <si>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</si>
  <si>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</si>
  <si>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</si>
  <si>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</si>
  <si>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</si>
  <si>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</si>
  <si>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</si>
  <si>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</si>
  <si>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</si>
  <si>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</si>
  <si>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</si>
  <si>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</si>
  <si>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</si>
  <si>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</si>
  <si>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</si>
  <si>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</si>
  <si>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</si>
  <si>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</si>
  <si>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</si>
  <si>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</si>
  <si>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</si>
  <si>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</si>
  <si>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</si>
  <si>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</si>
  <si>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</si>
  <si>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</si>
  <si>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</si>
  <si>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</si>
  <si>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</si>
  <si>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</si>
  <si>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</si>
  <si>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</si>
  <si>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</si>
  <si>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</si>
  <si>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</si>
  <si>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</si>
  <si>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</si>
  <si>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</si>
  <si>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</si>
  <si>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</si>
  <si>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</si>
  <si>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</si>
  <si>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</si>
  <si>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</si>
  <si>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</si>
  <si>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</si>
  <si>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</si>
  <si>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</si>
  <si>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</si>
  <si>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</si>
  <si>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</si>
  <si>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</si>
  <si>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</si>
  <si>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</si>
  <si>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</si>
  <si>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</si>
  <si>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</si>
  <si>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</si>
  <si>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</si>
  <si>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</si>
  <si>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</si>
  <si>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</si>
  <si>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</si>
  <si>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</si>
  <si>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</si>
  <si>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</si>
  <si>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</si>
  <si>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</si>
  <si>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</si>
  <si>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</si>
  <si>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</si>
  <si>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</si>
  <si>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</si>
  <si>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</si>
  <si>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</si>
  <si>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</si>
  <si>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</si>
  <si>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</si>
  <si>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</si>
  <si>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</si>
  <si>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</si>
  <si>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</si>
  <si>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</si>
  <si>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</si>
  <si>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</si>
  <si>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</si>
  <si>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</si>
  <si>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</si>
  <si>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</si>
  <si>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</si>
  <si>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</si>
  <si>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</si>
  <si>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</si>
  <si>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</si>
  <si>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</si>
  <si>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</si>
  <si>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</si>
  <si>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</si>
  <si>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</si>
  <si>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</si>
  <si>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</si>
  <si>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</si>
  <si>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</si>
  <si>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</si>
  <si>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</si>
  <si>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</si>
  <si>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</si>
  <si>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</si>
  <si>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</si>
  <si>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</si>
  <si>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</si>
  <si>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</si>
  <si>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</si>
  <si>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</si>
  <si>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</si>
  <si>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</si>
  <si>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</si>
  <si>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</si>
  <si>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</si>
  <si>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</si>
  <si>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</si>
  <si>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</si>
  <si>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</si>
  <si>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</si>
  <si>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</si>
  <si>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</si>
  <si>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</si>
  <si>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</si>
  <si>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</si>
  <si>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</si>
  <si>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</si>
  <si>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</si>
  <si>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</si>
  <si>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</si>
  <si>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</si>
  <si>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</si>
  <si>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</si>
  <si>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</si>
  <si>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</si>
  <si>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</si>
  <si>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</si>
  <si>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</si>
  <si>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</si>
  <si>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</si>
  <si>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</si>
  <si>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</si>
  <si>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</si>
  <si>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</si>
  <si>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</si>
  <si>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</si>
  <si>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</si>
  <si>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</si>
  <si>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</si>
  <si>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</si>
  <si>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</si>
  <si>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</si>
  <si>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</si>
  <si>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</si>
  <si>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</si>
  <si>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</si>
  <si>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</si>
  <si>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</si>
  <si>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</si>
  <si>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</si>
  <si>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</si>
  <si>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</si>
  <si>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</si>
  <si>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</si>
  <si>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</si>
  <si>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</si>
  <si>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</si>
  <si>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</si>
  <si>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</si>
  <si>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</si>
  <si>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</si>
  <si>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</si>
  <si>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</si>
  <si>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</si>
  <si>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</si>
  <si>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</si>
  <si>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</si>
  <si>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</si>
  <si>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</si>
  <si>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</si>
  <si>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</si>
  <si>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</si>
  <si>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</si>
  <si>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</si>
  <si>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</si>
  <si>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</si>
  <si>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</si>
  <si>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</si>
  <si>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</si>
  <si>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</si>
  <si>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</si>
  <si>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</si>
  <si>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</si>
  <si>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</si>
  <si>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</si>
  <si>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</si>
  <si>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</si>
  <si>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</si>
  <si>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</si>
  <si>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</si>
  <si>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</si>
  <si>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</si>
  <si>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</si>
  <si>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</si>
  <si>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</si>
  <si>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</si>
  <si>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</si>
  <si>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</si>
  <si>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</si>
  <si>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</si>
  <si>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</si>
  <si>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</si>
  <si>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</si>
  <si>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</si>
  <si>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</si>
  <si>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</si>
  <si>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</si>
  <si>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</si>
  <si>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</si>
  <si>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</si>
  <si>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</si>
  <si>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</si>
  <si>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</si>
  <si>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</si>
  <si>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</si>
  <si>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</si>
  <si>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</si>
  <si>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</si>
  <si>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</si>
  <si>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</si>
  <si>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</si>
  <si>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</si>
  <si>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</si>
  <si>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</si>
  <si>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</si>
  <si>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</si>
  <si>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</si>
  <si>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</si>
  <si>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</si>
  <si>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</si>
  <si>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</si>
  <si>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</si>
  <si>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</si>
  <si>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</si>
  <si>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</si>
  <si>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</si>
  <si>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</si>
  <si>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</si>
  <si>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</si>
  <si>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</si>
  <si>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</si>
  <si>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</si>
  <si>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</si>
  <si>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</si>
  <si>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</si>
  <si>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</si>
  <si>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</si>
  <si>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</si>
  <si>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</si>
  <si>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</si>
  <si>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</si>
  <si>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</si>
  <si>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</si>
  <si>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</si>
  <si>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</si>
  <si>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</si>
  <si>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</si>
  <si>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</si>
  <si>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</si>
  <si>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</si>
  <si>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</si>
  <si>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</si>
  <si>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</si>
  <si>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</si>
  <si>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</si>
  <si>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</si>
  <si>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</si>
  <si>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</si>
  <si>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</si>
  <si>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</si>
  <si>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</si>
  <si>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</si>
  <si>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</si>
  <si>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</si>
  <si>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</si>
  <si>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</si>
  <si>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</si>
  <si>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</si>
  <si>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</si>
  <si>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</si>
  <si>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</si>
  <si>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</si>
  <si>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</si>
  <si>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</si>
  <si>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</si>
  <si>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</si>
  <si>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</si>
  <si>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</si>
  <si>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</si>
  <si>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</si>
  <si>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</si>
  <si>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</si>
  <si>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</si>
  <si>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</si>
  <si>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</si>
  <si>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</si>
  <si>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</si>
  <si>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</si>
  <si>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</si>
  <si>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</si>
  <si>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</si>
  <si>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</si>
  <si>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</si>
  <si>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</si>
  <si>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</si>
  <si>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</si>
  <si>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</si>
  <si>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</si>
  <si>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</si>
  <si>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</si>
  <si>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</si>
  <si>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</si>
  <si>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</si>
  <si>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</si>
  <si>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</si>
  <si>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</si>
  <si>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</si>
  <si>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</si>
  <si>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</si>
  <si>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</si>
  <si>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</si>
  <si>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</si>
  <si>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</si>
  <si>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</si>
  <si>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</si>
  <si>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</si>
  <si>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</si>
  <si>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</si>
  <si>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</si>
  <si>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</si>
  <si>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</si>
  <si>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</si>
  <si>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</si>
  <si>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</si>
  <si>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</si>
  <si>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</si>
  <si>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</si>
  <si>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</si>
  <si>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</si>
  <si>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</si>
  <si>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</si>
  <si>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</si>
  <si>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</si>
  <si>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</si>
  <si>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</si>
  <si>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</si>
  <si>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</si>
  <si>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</si>
  <si>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</si>
  <si>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</si>
  <si>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</si>
  <si>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</si>
  <si>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</si>
  <si>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</si>
  <si>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</si>
  <si>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</si>
  <si>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</si>
  <si>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</si>
  <si>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</si>
  <si>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</si>
  <si>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</si>
  <si>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</si>
  <si>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</si>
  <si>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</si>
  <si>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</si>
  <si>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</si>
  <si>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</si>
  <si>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</si>
  <si>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</si>
  <si>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</si>
  <si>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</si>
  <si>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</si>
  <si>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</si>
  <si>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</si>
  <si>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</si>
  <si>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</si>
  <si>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</si>
  <si>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</si>
  <si>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</si>
  <si>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</si>
  <si>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</si>
  <si>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</si>
  <si>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</si>
  <si>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</si>
  <si>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</si>
  <si>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</si>
  <si>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</si>
  <si>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</si>
  <si>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</si>
  <si>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</si>
  <si>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</si>
  <si>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</si>
  <si>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</si>
  <si>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</si>
  <si>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</si>
  <si>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</si>
  <si>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</si>
  <si>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</si>
  <si>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</si>
  <si>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</si>
  <si>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</si>
  <si>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</si>
  <si>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</si>
  <si>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</si>
  <si>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</si>
  <si>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</si>
  <si>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</si>
  <si>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</si>
  <si>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</si>
  <si>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</si>
  <si>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</si>
  <si>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</si>
  <si>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</si>
  <si>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</si>
  <si>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</si>
  <si>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</si>
  <si>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</si>
  <si>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</si>
  <si>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</si>
  <si>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</si>
  <si>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</si>
  <si>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</si>
  <si>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</si>
  <si>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</si>
  <si>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</si>
  <si>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</si>
  <si>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</si>
  <si>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</si>
  <si>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</si>
  <si>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</si>
  <si>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</si>
  <si>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</si>
  <si>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</si>
  <si>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</si>
  <si>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</si>
  <si>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</si>
  <si>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</si>
  <si>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</si>
  <si>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</si>
  <si>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</si>
  <si>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</si>
  <si>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</si>
  <si>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</si>
  <si>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</si>
  <si>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</si>
  <si>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</si>
  <si>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</si>
  <si>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</si>
  <si>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</si>
  <si>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</si>
  <si>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</si>
  <si>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</si>
  <si>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</si>
  <si>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</si>
  <si>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</si>
  <si>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</si>
  <si>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</si>
  <si>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</si>
  <si>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</si>
  <si>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</si>
  <si>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</si>
  <si>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</si>
  <si>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</si>
  <si>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</si>
  <si>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</si>
  <si>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</si>
  <si>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</si>
  <si>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</si>
  <si>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</si>
  <si>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</si>
  <si>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</si>
  <si>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</si>
  <si>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</si>
  <si>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</si>
  <si>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</si>
  <si>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</si>
  <si>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</si>
  <si>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</si>
  <si>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</si>
  <si>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</si>
  <si>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</si>
  <si>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</si>
  <si>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</si>
  <si>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</si>
  <si>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</si>
  <si>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</si>
  <si>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</si>
  <si>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</si>
  <si>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</si>
  <si>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</si>
  <si>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</si>
  <si>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</si>
  <si>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</si>
  <si>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</si>
  <si>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</si>
  <si>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</si>
  <si>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</si>
  <si>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</si>
  <si>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</si>
  <si>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</si>
  <si>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</si>
  <si>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</si>
  <si>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</si>
  <si>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</si>
  <si>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</si>
  <si>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</si>
  <si>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</si>
  <si>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</si>
  <si>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</si>
  <si>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</si>
  <si>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</si>
  <si>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</si>
  <si>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</si>
  <si>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</si>
  <si>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</si>
  <si>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</si>
  <si>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</si>
  <si>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</si>
  <si>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</si>
  <si>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</si>
  <si>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</si>
  <si>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</si>
  <si>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</si>
  <si>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</si>
  <si>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</si>
  <si>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</si>
  <si>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</si>
  <si>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</si>
  <si>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</si>
  <si>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</si>
  <si>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</si>
  <si>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</si>
  <si>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</si>
  <si>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</si>
  <si>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</si>
  <si>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</si>
  <si>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</si>
  <si>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</si>
  <si>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</si>
  <si>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</si>
  <si>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</si>
  <si>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</si>
  <si>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</si>
  <si>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</si>
  <si>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</si>
  <si>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</si>
  <si>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</si>
  <si>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</si>
  <si>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</si>
  <si>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</si>
  <si>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</si>
  <si>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</si>
  <si>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</si>
  <si>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</si>
  <si>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</si>
  <si>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</si>
  <si>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</si>
  <si>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</si>
  <si>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</si>
  <si>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</si>
  <si>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</si>
  <si>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</si>
  <si>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</si>
  <si>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</si>
  <si>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</si>
  <si>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</si>
  <si>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</si>
  <si>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</si>
  <si>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</si>
  <si>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</si>
  <si>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</si>
  <si>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</si>
  <si>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</si>
  <si>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</si>
  <si>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</si>
  <si>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</si>
  <si>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</si>
  <si>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</si>
  <si>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</si>
  <si>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</si>
  <si>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</si>
  <si>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</si>
  <si>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</si>
  <si>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</si>
  <si>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</si>
  <si>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</si>
  <si>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</si>
  <si>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</si>
  <si>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</si>
  <si>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</si>
  <si>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</si>
  <si>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</si>
  <si>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</si>
  <si>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</si>
  <si>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</si>
  <si>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</si>
  <si>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</si>
  <si>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</si>
  <si>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</si>
  <si>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</si>
  <si>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</si>
  <si>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</si>
  <si>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</si>
  <si>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</si>
  <si>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</si>
  <si>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</si>
  <si>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</si>
  <si>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</si>
  <si>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</si>
  <si>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</si>
  <si>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</si>
  <si>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</si>
  <si>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</si>
  <si>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</si>
  <si>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</si>
  <si>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</si>
  <si>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</si>
  <si>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</si>
  <si>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</si>
  <si>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</si>
  <si>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</si>
  <si>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</si>
  <si>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</si>
  <si>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</si>
  <si>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</si>
  <si>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</si>
  <si>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</si>
  <si>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</si>
  <si>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</si>
  <si>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</si>
  <si>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</si>
  <si>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</si>
  <si>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</si>
  <si>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</si>
  <si>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</si>
  <si>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</si>
  <si>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</si>
  <si>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</si>
  <si>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</si>
  <si>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</si>
  <si>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</si>
  <si>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</si>
  <si>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</si>
  <si>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</si>
  <si>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</si>
  <si>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</si>
  <si>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</si>
  <si>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</si>
  <si>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</si>
  <si>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</si>
  <si>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</si>
  <si>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</si>
  <si>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</si>
  <si>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</si>
  <si>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</si>
  <si>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</si>
  <si>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</si>
  <si>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</si>
  <si>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</si>
  <si>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</si>
  <si>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</si>
  <si>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</si>
  <si>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</si>
  <si>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</si>
  <si>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</si>
  <si>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</si>
  <si>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</si>
  <si>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</si>
  <si>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</si>
  <si>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</si>
  <si>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</si>
  <si>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</si>
  <si>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</si>
  <si>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</si>
  <si>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</si>
  <si>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</si>
  <si>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</si>
  <si>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</si>
  <si>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</si>
  <si>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</si>
  <si>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</si>
  <si>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</si>
  <si>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</si>
  <si>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</si>
  <si>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</si>
  <si>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</si>
  <si>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</si>
  <si>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</si>
  <si>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</si>
  <si>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</si>
  <si>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</si>
  <si>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</si>
  <si>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</si>
  <si>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</si>
  <si>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</si>
  <si>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</si>
  <si>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</si>
  <si>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</si>
  <si>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</si>
  <si>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</si>
  <si>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</si>
  <si>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</si>
  <si>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</si>
  <si>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</si>
  <si>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</si>
  <si>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</si>
  <si>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</si>
  <si>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</si>
  <si>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</si>
  <si>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</si>
  <si>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</si>
  <si>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</si>
  <si>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</si>
  <si>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</si>
  <si>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</si>
  <si>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</si>
  <si>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</si>
  <si>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</si>
  <si>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</si>
  <si>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</si>
  <si>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</si>
  <si>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</si>
  <si>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</si>
  <si>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</si>
  <si>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</si>
  <si>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</si>
  <si>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</si>
  <si>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</si>
  <si>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</si>
  <si>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</si>
  <si>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</si>
  <si>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</si>
  <si>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</si>
  <si>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</si>
  <si>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</si>
  <si>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</si>
  <si>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</si>
  <si>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</si>
  <si>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</si>
  <si>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</si>
  <si>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</si>
  <si>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</si>
  <si>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</si>
  <si>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</si>
  <si>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</si>
  <si>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</si>
  <si>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</si>
  <si>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</si>
  <si>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</si>
  <si>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</si>
  <si>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</si>
  <si>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</si>
  <si>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</si>
  <si>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</si>
  <si>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</si>
  <si>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</si>
  <si>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</si>
  <si>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</si>
  <si>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</si>
  <si>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</si>
  <si>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</si>
  <si>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</si>
  <si>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</si>
  <si>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</si>
  <si>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</si>
  <si>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</si>
  <si>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</si>
  <si>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</si>
  <si>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</si>
  <si>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</si>
  <si>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</si>
  <si>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</si>
  <si>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</si>
  <si>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</si>
  <si>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</si>
  <si>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</si>
  <si>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</si>
  <si>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</si>
  <si>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</si>
  <si>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</si>
  <si>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</si>
  <si>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</si>
  <si>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</si>
  <si>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</si>
  <si>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</si>
  <si>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</si>
  <si>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</si>
  <si>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</si>
  <si>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</si>
  <si>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</si>
  <si>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</si>
  <si>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</si>
  <si>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</si>
  <si>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</si>
  <si>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</si>
  <si>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</si>
  <si>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</si>
  <si>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</si>
  <si>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</si>
  <si>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</si>
  <si>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</si>
  <si>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</si>
  <si>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</si>
  <si>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</si>
  <si>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</si>
  <si>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</si>
  <si>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</si>
  <si>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</si>
  <si>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</si>
  <si>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</si>
  <si>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</si>
  <si>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</si>
  <si>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</si>
  <si>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</si>
  <si>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</si>
  <si>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</si>
  <si>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</si>
  <si>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</si>
  <si>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</si>
  <si>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</si>
  <si>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</si>
  <si>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</si>
  <si>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</si>
  <si>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</si>
  <si>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</si>
  <si>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</si>
  <si>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</si>
  <si>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</si>
  <si>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</si>
  <si>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</si>
  <si>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</si>
  <si>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</si>
  <si>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</si>
  <si>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</si>
  <si>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</si>
  <si>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</si>
  <si>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</si>
  <si>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</si>
  <si>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</si>
  <si>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</si>
  <si>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</si>
  <si>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</si>
  <si>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</si>
  <si>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</si>
  <si>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</si>
  <si>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</si>
  <si>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</si>
  <si>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</si>
  <si>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</si>
  <si>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</si>
  <si>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</si>
  <si>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</si>
  <si>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</si>
  <si>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</si>
  <si>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</si>
  <si>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</si>
  <si>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</si>
  <si>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</si>
  <si>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</si>
  <si>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</si>
  <si>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</si>
  <si>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</si>
  <si>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</si>
  <si>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</si>
  <si>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</si>
  <si>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</si>
  <si>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</si>
  <si>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</si>
  <si>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</si>
  <si>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</si>
  <si>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</si>
  <si>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</si>
  <si>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</si>
  <si>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</si>
  <si>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</si>
  <si>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</si>
  <si>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</si>
  <si>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</si>
  <si>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</si>
  <si>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</si>
  <si>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</si>
  <si>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</si>
  <si>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</si>
  <si>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</si>
  <si>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</si>
  <si>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</si>
  <si>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</si>
  <si>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</si>
  <si>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</si>
  <si>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</si>
  <si>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</si>
  <si>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</si>
  <si>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</si>
  <si>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</si>
  <si>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</si>
  <si>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</si>
  <si>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</si>
  <si>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</si>
  <si>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</si>
  <si>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</si>
  <si>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</si>
  <si>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</si>
  <si>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</si>
  <si>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</si>
  <si>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</si>
  <si>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</si>
  <si>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</si>
  <si>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</si>
  <si>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</si>
  <si>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</si>
  <si>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</si>
  <si>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</si>
  <si>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</si>
  <si>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</si>
  <si>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</si>
  <si>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</si>
  <si>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</si>
  <si>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</si>
  <si>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</si>
  <si>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</si>
  <si>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</si>
  <si>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</si>
  <si>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</si>
  <si>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</si>
  <si>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</si>
  <si>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</si>
  <si>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</si>
  <si>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</si>
  <si>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</si>
  <si>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</si>
  <si>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</si>
  <si>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</si>
  <si>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</si>
  <si>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</si>
  <si>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</si>
  <si>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</si>
  <si>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</si>
  <si>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</si>
  <si>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</si>
  <si>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</si>
  <si>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</si>
  <si>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</si>
  <si>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</si>
  <si>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</si>
  <si>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</si>
  <si>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</si>
  <si>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</si>
  <si>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</si>
  <si>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</si>
  <si>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</si>
  <si>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</si>
  <si>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</si>
  <si>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</si>
  <si>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</si>
  <si>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</si>
  <si>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</si>
  <si>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</si>
  <si>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</si>
  <si>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</si>
  <si>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</si>
  <si>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</si>
  <si>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</si>
  <si>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</si>
  <si>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</si>
  <si>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</si>
  <si>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</si>
  <si>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</si>
  <si>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</si>
  <si>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</si>
  <si>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</si>
  <si>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</si>
  <si>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</si>
  <si>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</si>
  <si>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</si>
  <si>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</si>
  <si>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</si>
  <si>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</si>
  <si>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</si>
  <si>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</si>
  <si>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</si>
  <si>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</si>
  <si>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</si>
  <si>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</si>
  <si>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</si>
  <si>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</si>
  <si>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</si>
  <si>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</si>
  <si>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</si>
  <si>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</si>
  <si>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</si>
  <si>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</si>
  <si>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</si>
  <si>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</si>
  <si>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</si>
  <si>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</si>
  <si>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</si>
  <si>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</si>
  <si>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</si>
  <si>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</si>
  <si>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</si>
  <si>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</si>
  <si>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</si>
  <si>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</si>
  <si>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</si>
  <si>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</si>
  <si>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</si>
  <si>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</si>
  <si>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</si>
  <si>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</si>
  <si>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</si>
  <si>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</si>
  <si>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</si>
  <si>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</si>
  <si>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</si>
  <si>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</si>
  <si>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</si>
  <si>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</si>
  <si>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</si>
  <si>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</si>
  <si>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</si>
  <si>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</si>
  <si>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</si>
  <si>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</si>
  <si>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</si>
  <si>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</si>
  <si>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</si>
  <si>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</si>
  <si>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</si>
  <si>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</si>
  <si>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</si>
  <si>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</si>
  <si>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</si>
  <si>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</si>
  <si>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</si>
  <si>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</si>
  <si>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</si>
  <si>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</si>
  <si>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</si>
  <si>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</si>
  <si>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</si>
  <si>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</si>
  <si>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</si>
  <si>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</si>
  <si>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</si>
  <si>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</si>
  <si>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</si>
  <si>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</si>
  <si>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</si>
  <si>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</si>
  <si>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</si>
  <si>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</si>
  <si>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</si>
  <si>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</si>
  <si>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</si>
  <si>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</si>
  <si>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</si>
  <si>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</si>
  <si>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</si>
  <si>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</si>
  <si>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</si>
  <si>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</si>
  <si>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</si>
  <si>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</si>
  <si>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</si>
  <si>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</si>
  <si>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</si>
  <si>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</si>
  <si>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</si>
  <si>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</si>
  <si>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</si>
  <si>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</si>
  <si>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</si>
  <si>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</si>
  <si>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</si>
  <si>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</si>
  <si>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</si>
  <si>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</si>
  <si>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</si>
  <si>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</si>
  <si>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</si>
  <si>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</si>
  <si>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</si>
  <si>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</si>
  <si>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</si>
  <si>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</si>
  <si>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</si>
  <si>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</si>
  <si>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</si>
  <si>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</si>
  <si>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</si>
  <si>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</si>
  <si>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</si>
  <si>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</si>
  <si>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</si>
  <si>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</si>
  <si>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</si>
  <si>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</si>
  <si>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</si>
  <si>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</si>
  <si>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</si>
  <si>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</si>
  <si>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</si>
  <si>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</si>
  <si>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</si>
  <si>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</si>
  <si>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</si>
  <si>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</si>
  <si>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</si>
  <si>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</si>
  <si>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</si>
  <si>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</si>
  <si>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</si>
  <si>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</si>
  <si>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</si>
  <si>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</si>
  <si>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</si>
  <si>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</si>
  <si>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</si>
  <si>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</si>
  <si>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</si>
  <si>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</si>
  <si>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</si>
  <si>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</si>
  <si>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</si>
  <si>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</si>
  <si>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</si>
  <si>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</si>
  <si>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</si>
  <si>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</si>
  <si>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</si>
  <si>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</si>
  <si>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</si>
  <si>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</si>
  <si>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</si>
  <si>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</si>
  <si>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</si>
  <si>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</si>
  <si>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</si>
  <si>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</si>
  <si>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</si>
  <si>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</si>
  <si>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</si>
  <si>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</si>
  <si>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</si>
  <si>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</si>
  <si>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</si>
  <si>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</si>
  <si>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</si>
  <si>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</si>
  <si>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</si>
  <si>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</si>
  <si>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</si>
  <si>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</si>
  <si>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</si>
  <si>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</si>
  <si>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</si>
  <si>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</si>
  <si>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</si>
  <si>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</si>
  <si>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</si>
  <si>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</si>
  <si>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</si>
  <si>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</si>
  <si>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</si>
  <si>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</si>
  <si>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</si>
  <si>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</si>
  <si>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</si>
  <si>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</si>
  <si>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</si>
  <si>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</si>
  <si>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</si>
  <si>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</si>
  <si>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</si>
  <si>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</si>
  <si>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</si>
  <si>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</si>
  <si>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</si>
  <si>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</si>
  <si>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</si>
  <si>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</si>
  <si>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</si>
  <si>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</si>
  <si>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</si>
  <si>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</si>
  <si>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</si>
  <si>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</si>
  <si>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</si>
  <si>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</si>
  <si>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</si>
  <si>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</si>
  <si>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</si>
  <si>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</si>
  <si>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</si>
  <si>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</si>
  <si>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</si>
  <si>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</si>
  <si>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</si>
  <si>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</si>
  <si>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</si>
  <si>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</si>
  <si>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</si>
  <si>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</si>
  <si>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</si>
  <si>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</si>
  <si>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</si>
  <si>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</si>
  <si>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</si>
  <si>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</si>
  <si>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</si>
  <si>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</si>
  <si>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</si>
  <si>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</si>
  <si>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</si>
  <si>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</si>
  <si>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</si>
  <si>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</si>
  <si>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</si>
  <si>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</si>
  <si>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</si>
  <si>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</si>
  <si>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</si>
  <si>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</si>
  <si>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</si>
  <si>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</si>
  <si>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</si>
  <si>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</si>
  <si>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</si>
  <si>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</si>
  <si>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</si>
  <si>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</si>
  <si>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</si>
  <si>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</si>
  <si>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</si>
  <si>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</si>
  <si>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</si>
  <si>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</si>
  <si>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</si>
  <si>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</si>
  <si>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</si>
  <si>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</si>
  <si>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</si>
  <si>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</si>
  <si>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</si>
  <si>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</si>
  <si>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</si>
  <si>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</si>
  <si>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</si>
  <si>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</si>
  <si>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</si>
  <si>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</si>
  <si>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</si>
  <si>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</si>
  <si>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</si>
  <si>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</si>
  <si>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</si>
  <si>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</si>
  <si>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</si>
  <si>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</si>
  <si>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</si>
  <si>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</si>
  <si>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</si>
  <si>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</si>
  <si>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</si>
  <si>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</si>
  <si>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</si>
  <si>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</si>
  <si>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</si>
  <si>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</si>
  <si>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</si>
  <si>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</si>
  <si>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</si>
  <si>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</si>
  <si>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</si>
  <si>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</si>
  <si>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</si>
  <si>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</si>
  <si>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</si>
  <si>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</si>
  <si>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</si>
  <si>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</si>
  <si>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</si>
  <si>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</si>
  <si>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</si>
  <si>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</si>
  <si>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</si>
  <si>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</si>
  <si>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</si>
  <si>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</si>
  <si>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</si>
  <si>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</si>
  <si>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</si>
  <si>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</si>
  <si>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</si>
  <si>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</si>
  <si>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</si>
  <si>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</si>
  <si>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</si>
  <si>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</si>
  <si>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</si>
  <si>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</si>
  <si>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</si>
  <si>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</si>
  <si>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</si>
  <si>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</si>
  <si>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</si>
  <si>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</si>
  <si>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</si>
  <si>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</si>
  <si>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</si>
  <si>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</si>
  <si>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</si>
  <si>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</si>
  <si>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</si>
  <si>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</si>
  <si>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</si>
  <si>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</si>
  <si>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</si>
  <si>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</si>
  <si>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</si>
  <si>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</si>
  <si>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</si>
  <si>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</si>
  <si>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</si>
  <si>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</si>
  <si>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</si>
  <si>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</si>
  <si>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</si>
  <si>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</si>
  <si>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</si>
  <si>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</si>
  <si>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</si>
  <si>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</si>
  <si>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</si>
  <si>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</si>
  <si>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</si>
  <si>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</si>
  <si>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</si>
  <si>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</si>
  <si>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</si>
  <si>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</si>
  <si>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</si>
  <si>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</si>
  <si>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</si>
  <si>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</si>
  <si>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</si>
  <si>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</si>
  <si>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</si>
  <si>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</si>
  <si>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</si>
  <si>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</si>
  <si>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</si>
  <si>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</si>
  <si>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</si>
  <si>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</si>
  <si>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</si>
  <si>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</si>
  <si>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</si>
  <si>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</si>
  <si>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</si>
  <si>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</si>
  <si>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</si>
  <si>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</si>
  <si>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</si>
  <si>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</si>
  <si>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</si>
  <si>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</si>
  <si>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</si>
  <si>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</si>
  <si>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</si>
  <si>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</si>
  <si>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</si>
  <si>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</si>
  <si>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</si>
  <si>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</si>
  <si>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</si>
  <si>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</si>
  <si>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</si>
  <si>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</si>
  <si>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</si>
  <si>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</si>
  <si>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</si>
  <si>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</si>
  <si>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</si>
  <si>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</si>
  <si>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</si>
  <si>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</si>
  <si>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</si>
  <si>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</si>
  <si>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</si>
  <si>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</si>
  <si>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</si>
  <si>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</si>
  <si>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</si>
  <si>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</si>
  <si>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</si>
  <si>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</si>
  <si>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</si>
  <si>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</si>
  <si>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</si>
  <si>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</si>
  <si>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</si>
  <si>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</si>
  <si>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</si>
  <si>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</si>
  <si>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</si>
  <si>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</si>
  <si>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</si>
  <si>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</si>
  <si>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</si>
  <si>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</si>
  <si>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</si>
  <si>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</si>
  <si>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</si>
  <si>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</si>
  <si>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</si>
  <si>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</si>
  <si>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</si>
  <si>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</si>
  <si>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</si>
  <si>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</si>
  <si>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</si>
  <si>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</si>
  <si>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</si>
  <si>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</si>
  <si>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</si>
  <si>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</si>
  <si>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</si>
  <si>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</si>
  <si>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</si>
  <si>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</si>
  <si>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</si>
  <si>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</si>
  <si>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</si>
  <si>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</si>
  <si>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</si>
  <si>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</si>
  <si>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</si>
  <si>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</si>
  <si>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</si>
  <si>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</si>
  <si>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</si>
  <si>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</si>
  <si>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</si>
  <si>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</si>
  <si>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</si>
  <si>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</si>
  <si>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</si>
  <si>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</si>
  <si>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</si>
  <si>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</si>
  <si>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</si>
  <si>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</si>
  <si>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</si>
  <si>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</si>
  <si>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</si>
  <si>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</si>
  <si>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</si>
  <si>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</si>
  <si>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</si>
  <si>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</si>
  <si>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</si>
  <si>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</si>
  <si>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</si>
  <si>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</si>
  <si>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</si>
  <si>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</si>
  <si>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</si>
  <si>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شغدیر 197 تا 508 (تشویقی)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</si>
  <si>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</si>
  <si>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</si>
  <si>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</si>
  <si>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</si>
  <si>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</si>
  <si>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</si>
  <si>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</si>
  <si>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</si>
  <si>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</si>
  <si>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</si>
  <si>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</si>
  <si>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</si>
  <si>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</si>
  <si>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 xml:space="preserve">بدهی سارا به صندوق 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</si>
  <si>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</si>
  <si>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</si>
  <si>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</si>
  <si>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</si>
  <si>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</si>
  <si>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</si>
  <si>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</si>
  <si>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</si>
  <si>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</si>
  <si>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</si>
  <si>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</si>
  <si>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</si>
  <si>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</si>
  <si>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</si>
  <si>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</si>
  <si>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</si>
  <si>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</si>
  <si>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</si>
  <si>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</si>
  <si>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</si>
  <si>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</si>
  <si>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</si>
  <si>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</si>
  <si>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</si>
  <si>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</si>
  <si>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</si>
  <si>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</si>
  <si>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</si>
  <si>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</si>
  <si>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</si>
  <si>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</si>
  <si>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</si>
  <si>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</si>
  <si>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</si>
  <si>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</si>
  <si>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</si>
  <si>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</si>
  <si>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وبهمن</t>
  </si>
  <si>
    <t>دست مریم</t>
  </si>
  <si>
    <t>29/10/1397</t>
  </si>
  <si>
    <t>ریشمک 1000 تا 1204.7</t>
  </si>
  <si>
    <t>فخوز</t>
  </si>
  <si>
    <t>فخوز 2306 تا 862.2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</si>
  <si>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</si>
  <si>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</si>
  <si>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</si>
  <si>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</si>
  <si>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</si>
  <si>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</si>
  <si>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 2190 تا 455</t>
  </si>
  <si>
    <t>کنور</t>
  </si>
  <si>
    <t>سخوز</t>
  </si>
  <si>
    <t>وصندوق</t>
  </si>
  <si>
    <t>سخوز 2500 تا 408.6</t>
  </si>
  <si>
    <t>وبهمن 8000 تا 122.3</t>
  </si>
  <si>
    <t>وصندوق 4648 تا 217.1</t>
  </si>
  <si>
    <t>شفن 3065 تا 4500.5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</si>
  <si>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</si>
  <si>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</si>
  <si>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</si>
  <si>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</si>
  <si>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</si>
  <si>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</si>
  <si>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</si>
  <si>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</si>
  <si>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</si>
  <si>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</si>
  <si>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</si>
  <si>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</si>
  <si>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</si>
  <si>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کنور، مبین ، پارس کم کردن میانگین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</si>
  <si>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</si>
  <si>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</si>
  <si>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</si>
  <si>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</si>
  <si>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</si>
  <si>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</si>
  <si>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</si>
  <si>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</si>
  <si>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</si>
  <si>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</si>
  <si>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</si>
  <si>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شفن 1374 تا 724.8</t>
  </si>
  <si>
    <t>زاگرس 6974 تا 5393.6</t>
  </si>
  <si>
    <t>لوتوس 1439 تا 205</t>
  </si>
  <si>
    <t>لوتوس</t>
  </si>
  <si>
    <t>خرید شاراک مثل پارس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</si>
  <si>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</si>
  <si>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</si>
  <si>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</si>
  <si>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</si>
  <si>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</si>
  <si>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</si>
  <si>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</si>
  <si>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</si>
  <si>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</si>
  <si>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</si>
  <si>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</si>
  <si>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</si>
  <si>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</si>
  <si>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</si>
  <si>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</si>
  <si>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</si>
  <si>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</si>
  <si>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</si>
  <si>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</si>
  <si>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</si>
  <si>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</si>
  <si>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</si>
  <si>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</si>
  <si>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</si>
  <si>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</si>
  <si>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</si>
  <si>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</si>
  <si>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</si>
  <si>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</si>
  <si>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</si>
  <si>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</si>
  <si>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26 عدد سکه در بورس علی و 50 سکه در بورس مریم متعلق به صندوق نیست 7/11/97</t>
  </si>
  <si>
    <t>زاگرس 5000 ، شخارک 4000، شفن 4500، وغدیر 170 ، شسپا 2750،  پارس 3200، ماکزیمم قیمت خرید 2/11/97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</si>
  <si>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</si>
  <si>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</si>
  <si>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</si>
  <si>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</si>
  <si>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</si>
  <si>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</si>
  <si>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</si>
  <si>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</si>
  <si>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</si>
  <si>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</si>
  <si>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فخوز 1694 824.4</t>
  </si>
  <si>
    <t>پارس 2931 تا 3184.1</t>
  </si>
  <si>
    <t>مبین 183 تا 699.9</t>
  </si>
  <si>
    <t>وبانک 347 تا 290.3</t>
  </si>
  <si>
    <t xml:space="preserve">9/11/1397 13:52 </t>
  </si>
  <si>
    <t>پارسان 525 تا 347.5  (تشویقی)</t>
  </si>
  <si>
    <t>22+50+1</t>
  </si>
  <si>
    <t>تعداد سکه باقیمانده (3 تا دست مریم، 50 تا بورس مریم  26 تا بورس علی)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</si>
  <si>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</si>
  <si>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</si>
  <si>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</si>
  <si>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</si>
  <si>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</si>
  <si>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</si>
  <si>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</si>
  <si>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</si>
  <si>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</si>
  <si>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</si>
  <si>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</si>
  <si>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</si>
  <si>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</si>
  <si>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</si>
  <si>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</si>
  <si>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</si>
  <si>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خرید پارس با توجه به سبد محصول و فروش داخلی و خارجی 10/11/97</t>
  </si>
  <si>
    <t>پارس 4100 تا 3180.5</t>
  </si>
  <si>
    <t>شاراک 1232 تا 503.3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</si>
</sst>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2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5" borderId="0" xfId="0" applyFill="1" applyAlignment="1">
      <alignment wrapText="1"/>
    </xf>
    <xf numFmtId="0" fontId="0" fillId="0" borderId="1" xfId="0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4592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G44" sqref="G44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82000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47000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62000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16000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17000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6400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28000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29000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22500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57000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22000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16000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31000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20000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18000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16000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247000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7" workbookViewId="0">
      <selection activeCell="F14" sqref="F14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4658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9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4674</v>
      </c>
      <c r="B3" s="18">
        <v>-45000</v>
      </c>
      <c r="C3" s="18">
        <v>0</v>
      </c>
      <c r="D3" s="113">
        <f t="shared" ref="D3:D31" si="0">B3-C3</f>
        <v>-45000</v>
      </c>
      <c r="E3" s="20" t="s">
        <v>3771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4674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4691</v>
      </c>
      <c r="B5" s="18">
        <v>-200000</v>
      </c>
      <c r="C5" s="18">
        <v>0</v>
      </c>
      <c r="D5" s="113">
        <f t="shared" si="0"/>
        <v>-200000</v>
      </c>
      <c r="E5" s="20" t="s">
        <v>4688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4707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4713</v>
      </c>
      <c r="B7" s="18">
        <v>-60000</v>
      </c>
      <c r="C7" s="18">
        <v>0</v>
      </c>
      <c r="D7" s="113">
        <f t="shared" si="0"/>
        <v>-60000</v>
      </c>
      <c r="E7" s="19" t="s">
        <v>3771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4713</v>
      </c>
      <c r="B8" s="18">
        <v>2400000</v>
      </c>
      <c r="C8" s="18">
        <v>0</v>
      </c>
      <c r="D8" s="113">
        <f t="shared" si="0"/>
        <v>2400000</v>
      </c>
      <c r="E8" s="19" t="s">
        <v>3892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4713</v>
      </c>
      <c r="B9" s="18">
        <v>-135487</v>
      </c>
      <c r="C9" s="18">
        <v>0</v>
      </c>
      <c r="D9" s="113">
        <f t="shared" si="0"/>
        <v>-135487</v>
      </c>
      <c r="E9" s="21" t="s">
        <v>4015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4713</v>
      </c>
      <c r="B10" s="18">
        <v>-51400</v>
      </c>
      <c r="C10" s="18">
        <v>0</v>
      </c>
      <c r="D10" s="113">
        <f t="shared" si="0"/>
        <v>-51400</v>
      </c>
      <c r="E10" s="19" t="s">
        <v>4720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4723</v>
      </c>
      <c r="B11" s="18">
        <v>-2250000</v>
      </c>
      <c r="C11" s="18">
        <v>0</v>
      </c>
      <c r="D11" s="113">
        <f t="shared" si="0"/>
        <v>-2250000</v>
      </c>
      <c r="E11" s="19" t="s">
        <v>3771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4723</v>
      </c>
      <c r="B12" s="18">
        <v>700000</v>
      </c>
      <c r="C12" s="18">
        <v>0</v>
      </c>
      <c r="D12" s="113">
        <f t="shared" si="0"/>
        <v>700000</v>
      </c>
      <c r="E12" s="20" t="s">
        <v>3892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4762</v>
      </c>
      <c r="B13" s="18">
        <v>570000</v>
      </c>
      <c r="C13" s="18">
        <v>0</v>
      </c>
      <c r="D13" s="113">
        <f t="shared" si="0"/>
        <v>570000</v>
      </c>
      <c r="E13" s="20" t="s">
        <v>3892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4592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4599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4601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4614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4618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4628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4634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4644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4650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4650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4658</v>
      </c>
      <c r="B31" s="169">
        <v>0</v>
      </c>
      <c r="C31" s="169">
        <v>0</v>
      </c>
      <c r="D31" s="169">
        <f t="shared" si="0"/>
        <v>0</v>
      </c>
      <c r="E31" s="169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1374305</v>
      </c>
      <c r="C32" s="113">
        <f>SUM(C2:C31)</f>
        <v>0</v>
      </c>
      <c r="D32" s="113">
        <f>SUM(D2:D31)</f>
        <v>1374305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31291107</v>
      </c>
      <c r="H33" s="18">
        <f>SUM(H2:H31)</f>
        <v>0</v>
      </c>
      <c r="I33" s="18">
        <f>SUM(I2:I31)</f>
        <v>31291107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4684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4685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4689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4690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4716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4717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4718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4719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4720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4726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4736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4737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1704066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zoomScaleNormal="100" workbookViewId="0">
      <pane ySplit="1" topLeftCell="A287" activePane="bottomLeft" state="frozen"/>
      <selection pane="bottomLeft" activeCell="F305" sqref="F30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1026</v>
      </c>
      <c r="H2" s="36">
        <f>IF(B2&gt;0,1,0)</f>
        <v>1</v>
      </c>
      <c r="I2" s="11">
        <f>B2*(G2-H2)</f>
        <v>17117500</v>
      </c>
      <c r="J2" s="53">
        <f>C2*(G2-H2)</f>
        <v>17117500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1025</v>
      </c>
      <c r="H3" s="36">
        <f t="shared" ref="H3:H66" si="2">IF(B3&gt;0,1,0)</f>
        <v>1</v>
      </c>
      <c r="I3" s="11">
        <f t="shared" ref="I3:I66" si="3">B3*(G3-H3)</f>
        <v>20377600000</v>
      </c>
      <c r="J3" s="53">
        <f t="shared" ref="J3:J66" si="4">C3*(G3-H3)</f>
        <v>11660288000</v>
      </c>
      <c r="K3" s="53">
        <f t="shared" ref="K3:K66" si="5">D3*(G3-H3)</f>
        <v>8717312000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1025</v>
      </c>
      <c r="H4" s="36">
        <f t="shared" si="2"/>
        <v>0</v>
      </c>
      <c r="I4" s="11">
        <f t="shared" si="3"/>
        <v>0</v>
      </c>
      <c r="J4" s="53">
        <f t="shared" si="4"/>
        <v>8712500</v>
      </c>
      <c r="K4" s="53">
        <f t="shared" si="5"/>
        <v>-8712500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1023</v>
      </c>
      <c r="H5" s="36">
        <f t="shared" si="2"/>
        <v>1</v>
      </c>
      <c r="I5" s="11">
        <f t="shared" si="3"/>
        <v>2044000000</v>
      </c>
      <c r="J5" s="53">
        <f t="shared" si="4"/>
        <v>0</v>
      </c>
      <c r="K5" s="53">
        <f t="shared" si="5"/>
        <v>2044000000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1016</v>
      </c>
      <c r="H6" s="36">
        <f t="shared" si="2"/>
        <v>0</v>
      </c>
      <c r="I6" s="11">
        <f t="shared" si="3"/>
        <v>-5080000</v>
      </c>
      <c r="J6" s="53">
        <f t="shared" si="4"/>
        <v>0</v>
      </c>
      <c r="K6" s="53">
        <f t="shared" si="5"/>
        <v>-5080000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1012</v>
      </c>
      <c r="H7" s="36">
        <f t="shared" si="2"/>
        <v>0</v>
      </c>
      <c r="I7" s="11">
        <f t="shared" si="3"/>
        <v>-1214906000</v>
      </c>
      <c r="J7" s="53">
        <f t="shared" si="4"/>
        <v>0</v>
      </c>
      <c r="K7" s="53">
        <f t="shared" si="5"/>
        <v>-1214906000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1011</v>
      </c>
      <c r="H8" s="36">
        <f t="shared" si="2"/>
        <v>0</v>
      </c>
      <c r="I8" s="11">
        <f t="shared" si="3"/>
        <v>-202200000</v>
      </c>
      <c r="J8" s="53">
        <f t="shared" si="4"/>
        <v>0</v>
      </c>
      <c r="K8" s="53">
        <f t="shared" si="5"/>
        <v>-202200000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1009</v>
      </c>
      <c r="H9" s="36">
        <f t="shared" si="2"/>
        <v>0</v>
      </c>
      <c r="I9" s="11">
        <f t="shared" si="3"/>
        <v>-711849500</v>
      </c>
      <c r="J9" s="53">
        <f t="shared" si="4"/>
        <v>0</v>
      </c>
      <c r="K9" s="53">
        <f t="shared" si="5"/>
        <v>-711849500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1000</v>
      </c>
      <c r="H10" s="36">
        <f t="shared" si="2"/>
        <v>0</v>
      </c>
      <c r="I10" s="11">
        <f t="shared" si="3"/>
        <v>-200000000</v>
      </c>
      <c r="J10" s="53">
        <f t="shared" si="4"/>
        <v>0</v>
      </c>
      <c r="K10" s="53">
        <f t="shared" si="5"/>
        <v>-200000000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1000</v>
      </c>
      <c r="H11" s="36">
        <f t="shared" si="2"/>
        <v>1</v>
      </c>
      <c r="I11" s="11">
        <f t="shared" si="3"/>
        <v>999000000</v>
      </c>
      <c r="J11" s="53">
        <f t="shared" si="4"/>
        <v>0</v>
      </c>
      <c r="K11" s="53">
        <f t="shared" si="5"/>
        <v>999000000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996</v>
      </c>
      <c r="H12" s="36">
        <f t="shared" si="2"/>
        <v>0</v>
      </c>
      <c r="I12" s="11">
        <f t="shared" si="3"/>
        <v>-298800000</v>
      </c>
      <c r="J12" s="53">
        <f t="shared" si="4"/>
        <v>0</v>
      </c>
      <c r="K12" s="53">
        <f t="shared" si="5"/>
        <v>-298800000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991</v>
      </c>
      <c r="H13" s="36">
        <f t="shared" si="2"/>
        <v>0</v>
      </c>
      <c r="I13" s="11">
        <f t="shared" si="3"/>
        <v>-61442000</v>
      </c>
      <c r="J13" s="53">
        <f t="shared" si="4"/>
        <v>0</v>
      </c>
      <c r="K13" s="53">
        <f t="shared" si="5"/>
        <v>-61442000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991</v>
      </c>
      <c r="H14" s="36">
        <f t="shared" si="2"/>
        <v>1</v>
      </c>
      <c r="I14" s="11">
        <f t="shared" si="3"/>
        <v>1980000000</v>
      </c>
      <c r="J14" s="53">
        <f t="shared" si="4"/>
        <v>0</v>
      </c>
      <c r="K14" s="53">
        <f t="shared" si="5"/>
        <v>1980000000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990</v>
      </c>
      <c r="H15" s="36">
        <f t="shared" si="2"/>
        <v>1</v>
      </c>
      <c r="I15" s="11">
        <f t="shared" si="3"/>
        <v>1780200000</v>
      </c>
      <c r="J15" s="53">
        <f t="shared" si="4"/>
        <v>0</v>
      </c>
      <c r="K15" s="53">
        <f t="shared" si="5"/>
        <v>1780200000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990</v>
      </c>
      <c r="H16" s="36">
        <f t="shared" si="2"/>
        <v>0</v>
      </c>
      <c r="I16" s="11">
        <f t="shared" si="3"/>
        <v>-198000000</v>
      </c>
      <c r="J16" s="53">
        <f t="shared" si="4"/>
        <v>0</v>
      </c>
      <c r="K16" s="53">
        <f t="shared" si="5"/>
        <v>-198000000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986</v>
      </c>
      <c r="H17" s="36">
        <f t="shared" si="2"/>
        <v>0</v>
      </c>
      <c r="I17" s="11">
        <f t="shared" si="3"/>
        <v>-1972000000</v>
      </c>
      <c r="J17" s="53">
        <f t="shared" si="4"/>
        <v>0</v>
      </c>
      <c r="K17" s="53">
        <f t="shared" si="5"/>
        <v>-1972000000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985</v>
      </c>
      <c r="H18" s="36">
        <f t="shared" si="2"/>
        <v>0</v>
      </c>
      <c r="I18" s="11">
        <f t="shared" si="3"/>
        <v>-295500000</v>
      </c>
      <c r="J18" s="53">
        <f t="shared" si="4"/>
        <v>0</v>
      </c>
      <c r="K18" s="53">
        <f t="shared" si="5"/>
        <v>-295500000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984</v>
      </c>
      <c r="H19" s="36">
        <f t="shared" si="2"/>
        <v>0</v>
      </c>
      <c r="I19" s="11">
        <f t="shared" si="3"/>
        <v>-196800000</v>
      </c>
      <c r="J19" s="53">
        <f t="shared" si="4"/>
        <v>0</v>
      </c>
      <c r="K19" s="53">
        <f t="shared" si="5"/>
        <v>-196800000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982</v>
      </c>
      <c r="H20" s="36">
        <f t="shared" si="2"/>
        <v>1</v>
      </c>
      <c r="I20" s="11">
        <f t="shared" si="3"/>
        <v>265938309</v>
      </c>
      <c r="J20" s="53">
        <f t="shared" si="4"/>
        <v>144650412</v>
      </c>
      <c r="K20" s="53">
        <f t="shared" si="5"/>
        <v>121287897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980</v>
      </c>
      <c r="H21" s="36">
        <f t="shared" si="2"/>
        <v>0</v>
      </c>
      <c r="I21" s="11">
        <f t="shared" si="3"/>
        <v>-1475586000</v>
      </c>
      <c r="J21" s="53">
        <f t="shared" si="4"/>
        <v>0</v>
      </c>
      <c r="K21" s="53">
        <f t="shared" si="5"/>
        <v>-1475586000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977</v>
      </c>
      <c r="H22" s="36">
        <f t="shared" si="2"/>
        <v>1</v>
      </c>
      <c r="I22" s="11">
        <f t="shared" si="3"/>
        <v>2928000000</v>
      </c>
      <c r="J22" s="53">
        <f t="shared" si="4"/>
        <v>0</v>
      </c>
      <c r="K22" s="53">
        <f t="shared" si="5"/>
        <v>2928000000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976</v>
      </c>
      <c r="H23" s="36">
        <f t="shared" si="2"/>
        <v>1</v>
      </c>
      <c r="I23" s="11">
        <f t="shared" si="3"/>
        <v>975000000</v>
      </c>
      <c r="J23" s="53">
        <f t="shared" si="4"/>
        <v>0</v>
      </c>
      <c r="K23" s="53">
        <f t="shared" si="5"/>
        <v>975000000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975</v>
      </c>
      <c r="H24" s="36">
        <f t="shared" si="2"/>
        <v>0</v>
      </c>
      <c r="I24" s="11">
        <f t="shared" si="3"/>
        <v>-2925877500</v>
      </c>
      <c r="J24" s="53">
        <f t="shared" si="4"/>
        <v>0</v>
      </c>
      <c r="K24" s="53">
        <f t="shared" si="5"/>
        <v>-2925877500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960</v>
      </c>
      <c r="H25" s="36">
        <f t="shared" si="2"/>
        <v>1</v>
      </c>
      <c r="I25" s="11">
        <f t="shared" si="3"/>
        <v>1438500000</v>
      </c>
      <c r="J25" s="53">
        <f t="shared" si="4"/>
        <v>0</v>
      </c>
      <c r="K25" s="53">
        <f t="shared" si="5"/>
        <v>1438500000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952</v>
      </c>
      <c r="H26" s="36">
        <f t="shared" si="2"/>
        <v>0</v>
      </c>
      <c r="I26" s="11">
        <f t="shared" si="3"/>
        <v>-156128000</v>
      </c>
      <c r="J26" s="53">
        <f t="shared" si="4"/>
        <v>0</v>
      </c>
      <c r="K26" s="53">
        <f t="shared" si="5"/>
        <v>-156128000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951</v>
      </c>
      <c r="H27" s="36">
        <f t="shared" si="2"/>
        <v>1</v>
      </c>
      <c r="I27" s="11">
        <f t="shared" si="3"/>
        <v>189423350</v>
      </c>
      <c r="J27" s="53">
        <f t="shared" si="4"/>
        <v>102042350</v>
      </c>
      <c r="K27" s="53">
        <f t="shared" si="5"/>
        <v>87381000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949</v>
      </c>
      <c r="H28" s="36">
        <f t="shared" si="2"/>
        <v>0</v>
      </c>
      <c r="I28" s="11">
        <f t="shared" si="3"/>
        <v>-209729000</v>
      </c>
      <c r="J28" s="53">
        <f t="shared" si="4"/>
        <v>-209729000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949</v>
      </c>
      <c r="H29" s="36">
        <f t="shared" si="2"/>
        <v>0</v>
      </c>
      <c r="I29" s="11">
        <f t="shared" si="3"/>
        <v>-474974500</v>
      </c>
      <c r="J29" s="53">
        <f t="shared" si="4"/>
        <v>0</v>
      </c>
      <c r="K29" s="53">
        <f t="shared" si="5"/>
        <v>-474974500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949</v>
      </c>
      <c r="H30" s="36">
        <f t="shared" si="2"/>
        <v>0</v>
      </c>
      <c r="I30" s="11">
        <f t="shared" si="3"/>
        <v>-14235000000</v>
      </c>
      <c r="J30" s="53">
        <f t="shared" si="4"/>
        <v>-14235000000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932</v>
      </c>
      <c r="H31" s="36">
        <f t="shared" si="2"/>
        <v>0</v>
      </c>
      <c r="I31" s="11">
        <f t="shared" si="3"/>
        <v>-2806158800</v>
      </c>
      <c r="J31" s="53">
        <f t="shared" si="4"/>
        <v>0</v>
      </c>
      <c r="K31" s="53">
        <f t="shared" si="5"/>
        <v>-2806158800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930</v>
      </c>
      <c r="H32" s="36">
        <f t="shared" si="2"/>
        <v>0</v>
      </c>
      <c r="I32" s="11">
        <f t="shared" si="3"/>
        <v>-2795487000</v>
      </c>
      <c r="J32" s="53">
        <f t="shared" si="4"/>
        <v>0</v>
      </c>
      <c r="K32" s="53">
        <f t="shared" si="5"/>
        <v>-2795487000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929</v>
      </c>
      <c r="H33" s="36">
        <f t="shared" si="2"/>
        <v>0</v>
      </c>
      <c r="I33" s="11">
        <f t="shared" si="3"/>
        <v>-831919500</v>
      </c>
      <c r="J33" s="53">
        <f t="shared" si="4"/>
        <v>0</v>
      </c>
      <c r="K33" s="53">
        <f t="shared" si="5"/>
        <v>-831919500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929</v>
      </c>
      <c r="H34" s="36">
        <f t="shared" si="2"/>
        <v>0</v>
      </c>
      <c r="I34" s="11">
        <f t="shared" si="3"/>
        <v>0</v>
      </c>
      <c r="J34" s="53">
        <f t="shared" si="4"/>
        <v>929000000</v>
      </c>
      <c r="K34" s="53">
        <f t="shared" si="5"/>
        <v>-929000000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920</v>
      </c>
      <c r="H35" s="36">
        <f t="shared" si="2"/>
        <v>1</v>
      </c>
      <c r="I35" s="11">
        <f t="shared" si="3"/>
        <v>48221768</v>
      </c>
      <c r="J35" s="53">
        <f t="shared" si="4"/>
        <v>-19908297</v>
      </c>
      <c r="K35" s="53">
        <f t="shared" si="5"/>
        <v>68130065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920</v>
      </c>
      <c r="H36" s="36">
        <f t="shared" si="2"/>
        <v>0</v>
      </c>
      <c r="I36" s="11">
        <f t="shared" si="3"/>
        <v>0</v>
      </c>
      <c r="J36" s="53">
        <f t="shared" si="4"/>
        <v>19929960</v>
      </c>
      <c r="K36" s="53">
        <f t="shared" si="5"/>
        <v>-19929960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910</v>
      </c>
      <c r="H37" s="36">
        <f t="shared" si="2"/>
        <v>0</v>
      </c>
      <c r="I37" s="11">
        <f t="shared" si="3"/>
        <v>-50050000</v>
      </c>
      <c r="J37" s="53">
        <f t="shared" si="4"/>
        <v>0</v>
      </c>
      <c r="K37" s="53">
        <f t="shared" si="5"/>
        <v>-50050000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909</v>
      </c>
      <c r="H38" s="36">
        <f t="shared" si="2"/>
        <v>1</v>
      </c>
      <c r="I38" s="11">
        <f t="shared" si="3"/>
        <v>2724000000</v>
      </c>
      <c r="J38" s="53">
        <f t="shared" si="4"/>
        <v>2724000000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908</v>
      </c>
      <c r="H39" s="36">
        <f t="shared" si="2"/>
        <v>1</v>
      </c>
      <c r="I39" s="11">
        <f t="shared" si="3"/>
        <v>2267500000</v>
      </c>
      <c r="J39" s="53">
        <f t="shared" si="4"/>
        <v>2267500000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908</v>
      </c>
      <c r="H40" s="36">
        <f t="shared" si="2"/>
        <v>0</v>
      </c>
      <c r="I40" s="11">
        <f t="shared" si="3"/>
        <v>-45400000</v>
      </c>
      <c r="J40" s="53">
        <f t="shared" si="4"/>
        <v>0</v>
      </c>
      <c r="K40" s="53">
        <f t="shared" si="5"/>
        <v>-45400000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908</v>
      </c>
      <c r="H41" s="36">
        <f t="shared" si="2"/>
        <v>1</v>
      </c>
      <c r="I41" s="11">
        <f t="shared" si="3"/>
        <v>2721000000</v>
      </c>
      <c r="J41" s="53">
        <f t="shared" si="4"/>
        <v>0</v>
      </c>
      <c r="K41" s="53">
        <f t="shared" si="5"/>
        <v>2721000000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905</v>
      </c>
      <c r="H42" s="36">
        <f t="shared" si="2"/>
        <v>0</v>
      </c>
      <c r="I42" s="11">
        <f t="shared" si="3"/>
        <v>-80726000</v>
      </c>
      <c r="J42" s="53">
        <f t="shared" si="4"/>
        <v>0</v>
      </c>
      <c r="K42" s="53">
        <f t="shared" si="5"/>
        <v>-80726000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901</v>
      </c>
      <c r="H43" s="36">
        <f t="shared" si="2"/>
        <v>0</v>
      </c>
      <c r="I43" s="11">
        <f t="shared" si="3"/>
        <v>-180200000</v>
      </c>
      <c r="J43" s="53">
        <f t="shared" si="4"/>
        <v>0</v>
      </c>
      <c r="K43" s="53">
        <f t="shared" si="5"/>
        <v>-180200000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899</v>
      </c>
      <c r="H44" s="36">
        <f t="shared" si="2"/>
        <v>0</v>
      </c>
      <c r="I44" s="11">
        <f t="shared" si="3"/>
        <v>-179800000</v>
      </c>
      <c r="J44" s="53">
        <f t="shared" si="4"/>
        <v>0</v>
      </c>
      <c r="K44" s="53">
        <f t="shared" si="5"/>
        <v>-179800000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899</v>
      </c>
      <c r="H45" s="36">
        <f t="shared" si="2"/>
        <v>0</v>
      </c>
      <c r="I45" s="11">
        <f t="shared" si="3"/>
        <v>-503440000</v>
      </c>
      <c r="J45" s="53">
        <f t="shared" si="4"/>
        <v>0</v>
      </c>
      <c r="K45" s="53">
        <f t="shared" si="5"/>
        <v>-503440000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895</v>
      </c>
      <c r="H46" s="36">
        <f t="shared" si="2"/>
        <v>0</v>
      </c>
      <c r="I46" s="11">
        <f t="shared" si="3"/>
        <v>-631422500</v>
      </c>
      <c r="J46" s="53">
        <f t="shared" si="4"/>
        <v>0</v>
      </c>
      <c r="K46" s="53">
        <f t="shared" si="5"/>
        <v>-631422500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889</v>
      </c>
      <c r="H47" s="36">
        <f t="shared" si="2"/>
        <v>1</v>
      </c>
      <c r="I47" s="11">
        <f t="shared" si="3"/>
        <v>36589152</v>
      </c>
      <c r="J47" s="53">
        <f t="shared" si="4"/>
        <v>5961144</v>
      </c>
      <c r="K47" s="53">
        <f t="shared" si="5"/>
        <v>30628008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889</v>
      </c>
      <c r="H48" s="36">
        <f t="shared" si="2"/>
        <v>1</v>
      </c>
      <c r="I48" s="11">
        <f t="shared" si="3"/>
        <v>1513773600</v>
      </c>
      <c r="J48" s="53">
        <f t="shared" si="4"/>
        <v>0</v>
      </c>
      <c r="K48" s="53">
        <f t="shared" si="5"/>
        <v>1513773600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880</v>
      </c>
      <c r="H49" s="36">
        <f t="shared" si="2"/>
        <v>0</v>
      </c>
      <c r="I49" s="11">
        <f t="shared" si="3"/>
        <v>-136400000</v>
      </c>
      <c r="J49" s="53">
        <f t="shared" si="4"/>
        <v>0</v>
      </c>
      <c r="K49" s="53">
        <f t="shared" si="5"/>
        <v>-136400000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880</v>
      </c>
      <c r="H50" s="36">
        <f t="shared" si="2"/>
        <v>0</v>
      </c>
      <c r="I50" s="11">
        <f t="shared" si="3"/>
        <v>-121440000</v>
      </c>
      <c r="J50" s="53">
        <f t="shared" si="4"/>
        <v>0</v>
      </c>
      <c r="K50" s="53">
        <f t="shared" si="5"/>
        <v>-121440000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880</v>
      </c>
      <c r="H51" s="36">
        <f t="shared" si="2"/>
        <v>0</v>
      </c>
      <c r="I51" s="11">
        <f t="shared" si="3"/>
        <v>-651200000</v>
      </c>
      <c r="J51" s="53">
        <f t="shared" si="4"/>
        <v>0</v>
      </c>
      <c r="K51" s="53">
        <f t="shared" si="5"/>
        <v>-651200000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880</v>
      </c>
      <c r="H52" s="36">
        <f t="shared" si="2"/>
        <v>0</v>
      </c>
      <c r="I52" s="11">
        <f t="shared" si="3"/>
        <v>-176000000</v>
      </c>
      <c r="J52" s="53">
        <f t="shared" si="4"/>
        <v>0</v>
      </c>
      <c r="K52" s="53">
        <f t="shared" si="5"/>
        <v>-176000000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879</v>
      </c>
      <c r="H53" s="36">
        <f t="shared" si="2"/>
        <v>0</v>
      </c>
      <c r="I53" s="11">
        <f t="shared" si="3"/>
        <v>-927345000</v>
      </c>
      <c r="J53" s="53">
        <f t="shared" si="4"/>
        <v>0</v>
      </c>
      <c r="K53" s="53">
        <f t="shared" si="5"/>
        <v>-927345000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879</v>
      </c>
      <c r="H54" s="36">
        <f t="shared" si="2"/>
        <v>0</v>
      </c>
      <c r="I54" s="11">
        <f t="shared" si="3"/>
        <v>-175800000</v>
      </c>
      <c r="J54" s="53">
        <f t="shared" si="4"/>
        <v>0</v>
      </c>
      <c r="K54" s="53">
        <f t="shared" si="5"/>
        <v>-175800000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879</v>
      </c>
      <c r="H55" s="36">
        <f t="shared" si="2"/>
        <v>0</v>
      </c>
      <c r="I55" s="11">
        <f t="shared" si="3"/>
        <v>-879439500</v>
      </c>
      <c r="J55" s="53">
        <f t="shared" si="4"/>
        <v>0</v>
      </c>
      <c r="K55" s="53">
        <f t="shared" si="5"/>
        <v>-879439500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879</v>
      </c>
      <c r="H56" s="36">
        <f t="shared" si="2"/>
        <v>0</v>
      </c>
      <c r="I56" s="11">
        <f t="shared" si="3"/>
        <v>-33402000</v>
      </c>
      <c r="J56" s="53">
        <f t="shared" si="4"/>
        <v>0</v>
      </c>
      <c r="K56" s="53">
        <f t="shared" si="5"/>
        <v>-33402000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879</v>
      </c>
      <c r="H57" s="36">
        <f t="shared" si="2"/>
        <v>0</v>
      </c>
      <c r="I57" s="11">
        <f t="shared" si="3"/>
        <v>-92295000</v>
      </c>
      <c r="J57" s="53">
        <f t="shared" si="4"/>
        <v>0</v>
      </c>
      <c r="K57" s="53">
        <f t="shared" si="5"/>
        <v>-92295000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879</v>
      </c>
      <c r="H58" s="36">
        <f t="shared" si="2"/>
        <v>0</v>
      </c>
      <c r="I58" s="11">
        <f t="shared" si="3"/>
        <v>-52740000</v>
      </c>
      <c r="J58" s="53">
        <f t="shared" si="4"/>
        <v>0</v>
      </c>
      <c r="K58" s="53">
        <f t="shared" si="5"/>
        <v>-52740000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876</v>
      </c>
      <c r="H59" s="36">
        <f t="shared" si="2"/>
        <v>1</v>
      </c>
      <c r="I59" s="11">
        <f t="shared" si="3"/>
        <v>875000000</v>
      </c>
      <c r="J59" s="53">
        <f t="shared" si="4"/>
        <v>875000000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875</v>
      </c>
      <c r="H60" s="36">
        <f t="shared" si="2"/>
        <v>1</v>
      </c>
      <c r="I60" s="11">
        <f t="shared" si="3"/>
        <v>3059000000</v>
      </c>
      <c r="J60" s="53">
        <f t="shared" si="4"/>
        <v>3059000000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873</v>
      </c>
      <c r="H61" s="36">
        <f t="shared" si="2"/>
        <v>1</v>
      </c>
      <c r="I61" s="11">
        <f t="shared" si="3"/>
        <v>872000000</v>
      </c>
      <c r="J61" s="53">
        <f t="shared" si="4"/>
        <v>872000000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873</v>
      </c>
      <c r="H62" s="36">
        <f t="shared" si="2"/>
        <v>1</v>
      </c>
      <c r="I62" s="11">
        <f t="shared" si="3"/>
        <v>2616000000</v>
      </c>
      <c r="J62" s="53">
        <f t="shared" si="4"/>
        <v>2616000000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871</v>
      </c>
      <c r="H63" s="36">
        <f t="shared" si="2"/>
        <v>0</v>
      </c>
      <c r="I63" s="11">
        <f t="shared" si="3"/>
        <v>-174200000</v>
      </c>
      <c r="J63" s="53">
        <f t="shared" si="4"/>
        <v>0</v>
      </c>
      <c r="K63" s="53">
        <f t="shared" si="5"/>
        <v>-174200000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866</v>
      </c>
      <c r="H64" s="36">
        <f t="shared" si="2"/>
        <v>0</v>
      </c>
      <c r="I64" s="11">
        <f t="shared" si="3"/>
        <v>-43300000</v>
      </c>
      <c r="J64" s="53">
        <f t="shared" si="4"/>
        <v>0</v>
      </c>
      <c r="K64" s="53">
        <f t="shared" si="5"/>
        <v>-43300000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862</v>
      </c>
      <c r="H65" s="36">
        <f t="shared" si="2"/>
        <v>0</v>
      </c>
      <c r="I65" s="11">
        <f t="shared" si="3"/>
        <v>-172400000</v>
      </c>
      <c r="J65" s="53">
        <f t="shared" si="4"/>
        <v>0</v>
      </c>
      <c r="K65" s="53">
        <f t="shared" si="5"/>
        <v>-172400000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859</v>
      </c>
      <c r="H66" s="36">
        <f t="shared" si="2"/>
        <v>0</v>
      </c>
      <c r="I66" s="11">
        <f t="shared" si="3"/>
        <v>-146030000</v>
      </c>
      <c r="J66" s="53">
        <f t="shared" si="4"/>
        <v>0</v>
      </c>
      <c r="K66" s="53">
        <f t="shared" si="5"/>
        <v>-146030000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858</v>
      </c>
      <c r="H67" s="36">
        <f t="shared" ref="H67:H131" si="8">IF(B67&gt;0,1,0)</f>
        <v>1</v>
      </c>
      <c r="I67" s="11">
        <f t="shared" ref="I67:I119" si="9">B67*(G67-H67)</f>
        <v>78265525</v>
      </c>
      <c r="J67" s="53">
        <f t="shared" ref="J67:J131" si="10">C67*(G67-H67)</f>
        <v>56324611</v>
      </c>
      <c r="K67" s="53">
        <f t="shared" ref="K67:K131" si="11">D67*(G67-H67)</f>
        <v>21940914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840</v>
      </c>
      <c r="H68" s="36">
        <f t="shared" si="8"/>
        <v>0</v>
      </c>
      <c r="I68" s="11">
        <f t="shared" si="9"/>
        <v>-121800000</v>
      </c>
      <c r="J68" s="53">
        <f t="shared" si="10"/>
        <v>0</v>
      </c>
      <c r="K68" s="53">
        <f t="shared" si="11"/>
        <v>-121800000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833</v>
      </c>
      <c r="H69" s="36">
        <f t="shared" si="8"/>
        <v>1</v>
      </c>
      <c r="I69" s="11">
        <f t="shared" si="9"/>
        <v>815360000</v>
      </c>
      <c r="J69" s="53">
        <f t="shared" si="10"/>
        <v>0</v>
      </c>
      <c r="K69" s="53">
        <f t="shared" si="11"/>
        <v>815360000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830</v>
      </c>
      <c r="H70" s="36">
        <f t="shared" si="8"/>
        <v>0</v>
      </c>
      <c r="I70" s="11">
        <f t="shared" si="9"/>
        <v>-38180000</v>
      </c>
      <c r="J70" s="53">
        <f t="shared" si="10"/>
        <v>0</v>
      </c>
      <c r="K70" s="53">
        <f t="shared" si="11"/>
        <v>-38180000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828</v>
      </c>
      <c r="H71" s="36">
        <f t="shared" si="8"/>
        <v>1</v>
      </c>
      <c r="I71" s="11">
        <f t="shared" si="9"/>
        <v>95384526</v>
      </c>
      <c r="J71" s="53">
        <f t="shared" si="10"/>
        <v>85852524</v>
      </c>
      <c r="K71" s="53">
        <f t="shared" si="11"/>
        <v>9532002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827</v>
      </c>
      <c r="H72" s="36">
        <f t="shared" si="8"/>
        <v>0</v>
      </c>
      <c r="I72" s="11">
        <f t="shared" si="9"/>
        <v>-125678363</v>
      </c>
      <c r="J72" s="53">
        <f t="shared" si="10"/>
        <v>0</v>
      </c>
      <c r="K72" s="53">
        <f t="shared" si="11"/>
        <v>-125678363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826</v>
      </c>
      <c r="H73" s="36">
        <f t="shared" si="8"/>
        <v>0</v>
      </c>
      <c r="I73" s="11">
        <f t="shared" si="9"/>
        <v>-665343000</v>
      </c>
      <c r="J73" s="53">
        <f t="shared" si="10"/>
        <v>0</v>
      </c>
      <c r="K73" s="53">
        <f t="shared" si="11"/>
        <v>-665343000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819</v>
      </c>
      <c r="H74" s="36">
        <f t="shared" si="8"/>
        <v>1</v>
      </c>
      <c r="I74" s="11">
        <f t="shared" si="9"/>
        <v>5721910000</v>
      </c>
      <c r="J74" s="53">
        <f t="shared" si="10"/>
        <v>0</v>
      </c>
      <c r="K74" s="53">
        <f t="shared" si="11"/>
        <v>5721910000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818</v>
      </c>
      <c r="H75" s="36">
        <f t="shared" si="8"/>
        <v>1</v>
      </c>
      <c r="I75" s="11">
        <f t="shared" si="9"/>
        <v>2451000000</v>
      </c>
      <c r="J75" s="53">
        <f t="shared" si="10"/>
        <v>0</v>
      </c>
      <c r="K75" s="53">
        <f t="shared" si="11"/>
        <v>2451000000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816</v>
      </c>
      <c r="H76" s="36">
        <f t="shared" si="8"/>
        <v>1</v>
      </c>
      <c r="I76" s="11">
        <f t="shared" si="9"/>
        <v>2445000000</v>
      </c>
      <c r="J76" s="53">
        <f t="shared" si="10"/>
        <v>0</v>
      </c>
      <c r="K76" s="53">
        <f t="shared" si="11"/>
        <v>2445000000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815</v>
      </c>
      <c r="H77" s="36">
        <f t="shared" si="8"/>
        <v>1</v>
      </c>
      <c r="I77" s="11">
        <f t="shared" si="9"/>
        <v>2442000000</v>
      </c>
      <c r="J77" s="53">
        <f t="shared" si="10"/>
        <v>0</v>
      </c>
      <c r="K77" s="53">
        <f t="shared" si="11"/>
        <v>2442000000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814</v>
      </c>
      <c r="H78" s="36">
        <f t="shared" si="8"/>
        <v>0</v>
      </c>
      <c r="I78" s="11">
        <f t="shared" si="9"/>
        <v>-2604800000</v>
      </c>
      <c r="J78" s="53">
        <f t="shared" si="10"/>
        <v>-2604800000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813</v>
      </c>
      <c r="H79" s="36">
        <f t="shared" si="8"/>
        <v>0</v>
      </c>
      <c r="I79" s="11">
        <f t="shared" si="9"/>
        <v>-650400000</v>
      </c>
      <c r="J79" s="53">
        <f t="shared" si="10"/>
        <v>-650400000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812</v>
      </c>
      <c r="H80" s="36">
        <f t="shared" si="8"/>
        <v>0</v>
      </c>
      <c r="I80" s="11">
        <f t="shared" si="9"/>
        <v>-39295116</v>
      </c>
      <c r="J80" s="53">
        <f t="shared" si="10"/>
        <v>0</v>
      </c>
      <c r="K80" s="53">
        <f t="shared" si="11"/>
        <v>-39295116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811</v>
      </c>
      <c r="H81" s="36">
        <f t="shared" si="8"/>
        <v>0</v>
      </c>
      <c r="I81" s="11">
        <f t="shared" si="9"/>
        <v>-113540000</v>
      </c>
      <c r="J81" s="53">
        <f t="shared" si="10"/>
        <v>0</v>
      </c>
      <c r="K81" s="53">
        <f t="shared" si="11"/>
        <v>-113540000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810</v>
      </c>
      <c r="H82" s="36">
        <f t="shared" si="8"/>
        <v>0</v>
      </c>
      <c r="I82" s="11">
        <f t="shared" si="9"/>
        <v>-202500000</v>
      </c>
      <c r="J82" s="53">
        <f t="shared" si="10"/>
        <v>0</v>
      </c>
      <c r="K82" s="53">
        <f t="shared" si="11"/>
        <v>-202500000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809</v>
      </c>
      <c r="H83" s="36">
        <f t="shared" si="8"/>
        <v>0</v>
      </c>
      <c r="I83" s="11">
        <f t="shared" si="9"/>
        <v>-161800000</v>
      </c>
      <c r="J83" s="53">
        <f t="shared" si="10"/>
        <v>0</v>
      </c>
      <c r="K83" s="53">
        <f t="shared" si="11"/>
        <v>-161800000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806</v>
      </c>
      <c r="H84" s="36">
        <f t="shared" si="8"/>
        <v>1</v>
      </c>
      <c r="I84" s="11">
        <f t="shared" si="9"/>
        <v>1316336000</v>
      </c>
      <c r="J84" s="53">
        <f t="shared" si="10"/>
        <v>0</v>
      </c>
      <c r="K84" s="53">
        <f t="shared" si="11"/>
        <v>1316336000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802</v>
      </c>
      <c r="H85" s="36">
        <f t="shared" si="8"/>
        <v>1</v>
      </c>
      <c r="I85" s="11">
        <f t="shared" si="9"/>
        <v>2002500000</v>
      </c>
      <c r="J85" s="53">
        <f t="shared" si="10"/>
        <v>0</v>
      </c>
      <c r="K85" s="53">
        <f t="shared" si="11"/>
        <v>2002500000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798</v>
      </c>
      <c r="H86" s="36">
        <f t="shared" si="8"/>
        <v>1</v>
      </c>
      <c r="I86" s="11">
        <f t="shared" si="9"/>
        <v>148481100</v>
      </c>
      <c r="J86" s="53">
        <f t="shared" si="10"/>
        <v>67705150</v>
      </c>
      <c r="K86" s="53">
        <f t="shared" si="11"/>
        <v>80775950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795</v>
      </c>
      <c r="H87" s="36">
        <f t="shared" si="8"/>
        <v>0</v>
      </c>
      <c r="I87" s="11">
        <f t="shared" si="9"/>
        <v>-159000000</v>
      </c>
      <c r="J87" s="53">
        <f t="shared" si="10"/>
        <v>0</v>
      </c>
      <c r="K87" s="53">
        <f t="shared" si="11"/>
        <v>-159000000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794</v>
      </c>
      <c r="H88" s="36">
        <f t="shared" si="8"/>
        <v>0</v>
      </c>
      <c r="I88" s="11">
        <f t="shared" si="9"/>
        <v>-93692000</v>
      </c>
      <c r="J88" s="53">
        <f t="shared" si="10"/>
        <v>-54786000</v>
      </c>
      <c r="K88" s="53">
        <f t="shared" si="11"/>
        <v>-38906000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786</v>
      </c>
      <c r="H89" s="36">
        <f t="shared" si="8"/>
        <v>0</v>
      </c>
      <c r="I89" s="11">
        <f t="shared" si="9"/>
        <v>-2515907400</v>
      </c>
      <c r="J89" s="53">
        <f t="shared" si="10"/>
        <v>0</v>
      </c>
      <c r="K89" s="53">
        <f t="shared" si="11"/>
        <v>-2515907400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785</v>
      </c>
      <c r="H90" s="36">
        <f t="shared" si="8"/>
        <v>0</v>
      </c>
      <c r="I90" s="11">
        <f t="shared" si="9"/>
        <v>-2512706500</v>
      </c>
      <c r="J90" s="53">
        <f t="shared" si="10"/>
        <v>0</v>
      </c>
      <c r="K90" s="53">
        <f t="shared" si="11"/>
        <v>-2512706500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784</v>
      </c>
      <c r="H91" s="36">
        <f t="shared" si="8"/>
        <v>0</v>
      </c>
      <c r="I91" s="11">
        <f t="shared" si="9"/>
        <v>-2509505600</v>
      </c>
      <c r="J91" s="53">
        <f t="shared" si="10"/>
        <v>0</v>
      </c>
      <c r="K91" s="53">
        <f t="shared" si="11"/>
        <v>-2509505600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783</v>
      </c>
      <c r="H92" s="36">
        <f t="shared" si="8"/>
        <v>0</v>
      </c>
      <c r="I92" s="11">
        <f t="shared" si="9"/>
        <v>-2506304700</v>
      </c>
      <c r="J92" s="53">
        <f t="shared" si="10"/>
        <v>0</v>
      </c>
      <c r="K92" s="53">
        <f t="shared" si="11"/>
        <v>-2506304700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782</v>
      </c>
      <c r="H93" s="36">
        <f t="shared" si="8"/>
        <v>0</v>
      </c>
      <c r="I93" s="11">
        <f t="shared" si="9"/>
        <v>-2503103800</v>
      </c>
      <c r="J93" s="53">
        <f t="shared" si="10"/>
        <v>0</v>
      </c>
      <c r="K93" s="53">
        <f t="shared" si="11"/>
        <v>-2503103800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781</v>
      </c>
      <c r="H94" s="36">
        <f t="shared" si="8"/>
        <v>0</v>
      </c>
      <c r="I94" s="11">
        <f t="shared" si="9"/>
        <v>-2499902900</v>
      </c>
      <c r="J94" s="53">
        <f t="shared" si="10"/>
        <v>0</v>
      </c>
      <c r="K94" s="53">
        <f t="shared" si="11"/>
        <v>-2499902900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779</v>
      </c>
      <c r="H95" s="36">
        <f t="shared" si="8"/>
        <v>0</v>
      </c>
      <c r="I95" s="11">
        <f t="shared" si="9"/>
        <v>-932148284</v>
      </c>
      <c r="J95" s="53">
        <f t="shared" si="10"/>
        <v>0</v>
      </c>
      <c r="K95" s="53">
        <f t="shared" si="11"/>
        <v>-932148284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769</v>
      </c>
      <c r="H96" s="36">
        <f t="shared" si="8"/>
        <v>0</v>
      </c>
      <c r="I96" s="11">
        <f t="shared" si="9"/>
        <v>-153800000</v>
      </c>
      <c r="J96" s="53">
        <f t="shared" si="10"/>
        <v>0</v>
      </c>
      <c r="K96" s="53">
        <f t="shared" si="11"/>
        <v>-153800000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768</v>
      </c>
      <c r="H97" s="36">
        <f t="shared" si="8"/>
        <v>1</v>
      </c>
      <c r="I97" s="11">
        <f t="shared" si="9"/>
        <v>122380986</v>
      </c>
      <c r="J97" s="53">
        <f t="shared" si="10"/>
        <v>52866242</v>
      </c>
      <c r="K97" s="53">
        <f t="shared" si="11"/>
        <v>69514744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763</v>
      </c>
      <c r="H98" s="36">
        <f t="shared" si="8"/>
        <v>1</v>
      </c>
      <c r="I98" s="11">
        <f t="shared" si="9"/>
        <v>87148416</v>
      </c>
      <c r="J98" s="53">
        <f t="shared" si="10"/>
        <v>0</v>
      </c>
      <c r="K98" s="53">
        <f t="shared" si="11"/>
        <v>87148416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760</v>
      </c>
      <c r="H99" s="36">
        <f t="shared" si="8"/>
        <v>0</v>
      </c>
      <c r="I99" s="11">
        <f t="shared" si="9"/>
        <v>-1007000000</v>
      </c>
      <c r="J99" s="53">
        <f t="shared" si="10"/>
        <v>0</v>
      </c>
      <c r="K99" s="53">
        <f t="shared" si="11"/>
        <v>-1007000000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755</v>
      </c>
      <c r="H100" s="36">
        <f t="shared" si="8"/>
        <v>1</v>
      </c>
      <c r="I100" s="11">
        <f t="shared" si="9"/>
        <v>999050000</v>
      </c>
      <c r="J100" s="53">
        <f t="shared" si="10"/>
        <v>0</v>
      </c>
      <c r="K100" s="53">
        <f t="shared" si="11"/>
        <v>999050000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738</v>
      </c>
      <c r="H101" s="36">
        <f t="shared" si="8"/>
        <v>1</v>
      </c>
      <c r="I101" s="11">
        <f t="shared" si="9"/>
        <v>49264765</v>
      </c>
      <c r="J101" s="53">
        <f t="shared" si="10"/>
        <v>49264765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735</v>
      </c>
      <c r="H102" s="36">
        <f t="shared" si="8"/>
        <v>1</v>
      </c>
      <c r="I102" s="11">
        <f t="shared" si="9"/>
        <v>2202000000</v>
      </c>
      <c r="J102" s="53">
        <f t="shared" si="10"/>
        <v>0</v>
      </c>
      <c r="K102" s="53">
        <f t="shared" si="11"/>
        <v>2202000000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728</v>
      </c>
      <c r="H103" s="36">
        <f t="shared" si="8"/>
        <v>0</v>
      </c>
      <c r="I103" s="11">
        <f t="shared" si="9"/>
        <v>-728000000</v>
      </c>
      <c r="J103" s="53">
        <f t="shared" si="10"/>
        <v>-728000000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718</v>
      </c>
      <c r="H104" s="36">
        <f t="shared" si="8"/>
        <v>1</v>
      </c>
      <c r="I104" s="11">
        <f t="shared" si="9"/>
        <v>2151000000</v>
      </c>
      <c r="J104" s="53">
        <f t="shared" si="10"/>
        <v>2151000000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717</v>
      </c>
      <c r="H105" s="36">
        <f t="shared" si="8"/>
        <v>1</v>
      </c>
      <c r="I105" s="11">
        <f t="shared" si="9"/>
        <v>801920000</v>
      </c>
      <c r="J105" s="53">
        <f t="shared" si="10"/>
        <v>801920000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717</v>
      </c>
      <c r="H106" s="36">
        <f t="shared" si="8"/>
        <v>0</v>
      </c>
      <c r="I106" s="11">
        <f t="shared" si="9"/>
        <v>-2151000000</v>
      </c>
      <c r="J106" s="53">
        <f t="shared" si="10"/>
        <v>0</v>
      </c>
      <c r="K106" s="53">
        <f t="shared" si="11"/>
        <v>-2151000000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708</v>
      </c>
      <c r="H107" s="36">
        <f t="shared" si="8"/>
        <v>1</v>
      </c>
      <c r="I107" s="11">
        <f t="shared" si="9"/>
        <v>63979258</v>
      </c>
      <c r="J107" s="53">
        <f t="shared" si="10"/>
        <v>53106305</v>
      </c>
      <c r="K107" s="53">
        <f t="shared" si="11"/>
        <v>10872953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706</v>
      </c>
      <c r="H108" s="36">
        <f t="shared" si="8"/>
        <v>0</v>
      </c>
      <c r="I108" s="11">
        <f t="shared" si="9"/>
        <v>-1200694200</v>
      </c>
      <c r="J108" s="53">
        <f t="shared" si="10"/>
        <v>0</v>
      </c>
      <c r="K108" s="53">
        <f t="shared" si="11"/>
        <v>-1200694200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702</v>
      </c>
      <c r="H109" s="36">
        <f t="shared" si="8"/>
        <v>0</v>
      </c>
      <c r="I109" s="11">
        <f t="shared" si="9"/>
        <v>-702351000</v>
      </c>
      <c r="J109" s="53">
        <f t="shared" si="10"/>
        <v>0</v>
      </c>
      <c r="K109" s="53">
        <f t="shared" si="11"/>
        <v>-702351000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699</v>
      </c>
      <c r="H110" s="36">
        <f t="shared" si="8"/>
        <v>1</v>
      </c>
      <c r="I110" s="11">
        <f t="shared" si="9"/>
        <v>13960000000</v>
      </c>
      <c r="J110" s="53">
        <f t="shared" si="10"/>
        <v>0</v>
      </c>
      <c r="K110" s="53">
        <f t="shared" si="11"/>
        <v>13960000000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679</v>
      </c>
      <c r="H111" s="36">
        <f t="shared" si="8"/>
        <v>1</v>
      </c>
      <c r="I111" s="11">
        <f t="shared" si="9"/>
        <v>118431684</v>
      </c>
      <c r="J111" s="53">
        <f t="shared" si="10"/>
        <v>59232114</v>
      </c>
      <c r="K111" s="53">
        <f t="shared" si="11"/>
        <v>59199570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663</v>
      </c>
      <c r="H112" s="36">
        <f t="shared" si="8"/>
        <v>0</v>
      </c>
      <c r="I112" s="11">
        <f t="shared" si="9"/>
        <v>-18829200000</v>
      </c>
      <c r="J112" s="53">
        <f t="shared" si="10"/>
        <v>0</v>
      </c>
      <c r="K112" s="53">
        <f t="shared" si="11"/>
        <v>-18829200000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648</v>
      </c>
      <c r="H113" s="36">
        <f t="shared" si="8"/>
        <v>1</v>
      </c>
      <c r="I113" s="11">
        <f t="shared" si="9"/>
        <v>105486880</v>
      </c>
      <c r="J113" s="53">
        <f t="shared" si="10"/>
        <v>79264617</v>
      </c>
      <c r="K113" s="53">
        <f t="shared" si="11"/>
        <v>26222263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648</v>
      </c>
      <c r="H114" s="36">
        <f t="shared" si="8"/>
        <v>0</v>
      </c>
      <c r="I114" s="11">
        <f t="shared" si="9"/>
        <v>-3693600</v>
      </c>
      <c r="J114" s="53">
        <f t="shared" si="10"/>
        <v>-1620000</v>
      </c>
      <c r="K114" s="53">
        <f t="shared" si="11"/>
        <v>-2073600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635</v>
      </c>
      <c r="H115" s="36">
        <f t="shared" si="8"/>
        <v>0</v>
      </c>
      <c r="I115" s="11">
        <f t="shared" si="9"/>
        <v>0</v>
      </c>
      <c r="J115" s="53">
        <f t="shared" si="10"/>
        <v>317500000</v>
      </c>
      <c r="K115" s="53">
        <f t="shared" si="11"/>
        <v>-317500000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627</v>
      </c>
      <c r="H116" s="36">
        <f t="shared" si="8"/>
        <v>0</v>
      </c>
      <c r="I116" s="11">
        <f t="shared" si="9"/>
        <v>-100320000</v>
      </c>
      <c r="J116" s="53">
        <f t="shared" si="10"/>
        <v>0</v>
      </c>
      <c r="K116" s="53">
        <f t="shared" si="11"/>
        <v>-100320000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618</v>
      </c>
      <c r="H117" s="36">
        <f t="shared" si="8"/>
        <v>1</v>
      </c>
      <c r="I117" s="11">
        <f t="shared" si="9"/>
        <v>913160</v>
      </c>
      <c r="J117" s="53">
        <f t="shared" si="10"/>
        <v>65982597</v>
      </c>
      <c r="K117" s="53">
        <f t="shared" si="11"/>
        <v>-65069437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596</v>
      </c>
      <c r="H118" s="36">
        <f t="shared" si="8"/>
        <v>1</v>
      </c>
      <c r="I118" s="11">
        <f t="shared" si="9"/>
        <v>23442702500</v>
      </c>
      <c r="J118" s="53">
        <f t="shared" si="10"/>
        <v>0</v>
      </c>
      <c r="K118" s="53">
        <f t="shared" si="11"/>
        <v>23442702500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587</v>
      </c>
      <c r="H119" s="36">
        <f t="shared" si="8"/>
        <v>1</v>
      </c>
      <c r="I119" s="11">
        <f t="shared" si="9"/>
        <v>55975306</v>
      </c>
      <c r="J119" s="53">
        <f t="shared" si="10"/>
        <v>64491644</v>
      </c>
      <c r="K119" s="53">
        <f t="shared" si="11"/>
        <v>-8516338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583</v>
      </c>
      <c r="H120" s="11">
        <f t="shared" si="8"/>
        <v>1</v>
      </c>
      <c r="I120" s="11">
        <f t="shared" ref="I120:I313" si="13">B120*(G120-H120)</f>
        <v>1164000000</v>
      </c>
      <c r="J120" s="11">
        <f t="shared" si="10"/>
        <v>0</v>
      </c>
      <c r="K120" s="11">
        <f t="shared" si="11"/>
        <v>1164000000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557</v>
      </c>
      <c r="H121" s="11">
        <f t="shared" si="8"/>
        <v>1</v>
      </c>
      <c r="I121" s="11">
        <f t="shared" si="13"/>
        <v>1445600000</v>
      </c>
      <c r="J121" s="11">
        <f t="shared" si="10"/>
        <v>0</v>
      </c>
      <c r="K121" s="11">
        <f t="shared" si="11"/>
        <v>1445600000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556</v>
      </c>
      <c r="H122" s="11">
        <f t="shared" si="8"/>
        <v>1</v>
      </c>
      <c r="I122" s="11">
        <f t="shared" si="13"/>
        <v>213425805</v>
      </c>
      <c r="J122" s="11">
        <f t="shared" si="10"/>
        <v>61553940</v>
      </c>
      <c r="K122" s="11">
        <f t="shared" si="11"/>
        <v>151871865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555</v>
      </c>
      <c r="H123" s="11">
        <f t="shared" si="8"/>
        <v>0</v>
      </c>
      <c r="I123" s="11">
        <f t="shared" si="13"/>
        <v>0</v>
      </c>
      <c r="J123" s="11">
        <f t="shared" si="10"/>
        <v>444000000</v>
      </c>
      <c r="K123" s="11">
        <f t="shared" si="11"/>
        <v>-444000000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541</v>
      </c>
      <c r="H124" s="11">
        <f t="shared" si="8"/>
        <v>0</v>
      </c>
      <c r="I124" s="11">
        <f t="shared" si="13"/>
        <v>-1623000000</v>
      </c>
      <c r="J124" s="11">
        <f t="shared" si="10"/>
        <v>0</v>
      </c>
      <c r="K124" s="11">
        <f t="shared" si="11"/>
        <v>-1623000000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526</v>
      </c>
      <c r="H125" s="11">
        <f t="shared" si="8"/>
        <v>1</v>
      </c>
      <c r="I125" s="11">
        <f t="shared" si="13"/>
        <v>210372750</v>
      </c>
      <c r="J125" s="11">
        <f t="shared" si="10"/>
        <v>62409375</v>
      </c>
      <c r="K125" s="11">
        <f t="shared" si="11"/>
        <v>147963375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526</v>
      </c>
      <c r="H126" s="11">
        <f t="shared" si="8"/>
        <v>1</v>
      </c>
      <c r="I126" s="11">
        <f t="shared" si="13"/>
        <v>22050000000</v>
      </c>
      <c r="J126" s="11">
        <f t="shared" si="10"/>
        <v>0</v>
      </c>
      <c r="K126" s="11">
        <f t="shared" si="11"/>
        <v>22050000000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501</v>
      </c>
      <c r="H127" s="11">
        <f t="shared" si="8"/>
        <v>0</v>
      </c>
      <c r="I127" s="11">
        <f t="shared" si="13"/>
        <v>-2505000</v>
      </c>
      <c r="J127" s="11">
        <f t="shared" si="10"/>
        <v>0</v>
      </c>
      <c r="K127" s="11">
        <f t="shared" si="11"/>
        <v>-2505000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495</v>
      </c>
      <c r="H128" s="11">
        <f t="shared" si="8"/>
        <v>1</v>
      </c>
      <c r="I128" s="11">
        <f t="shared" si="13"/>
        <v>381058756</v>
      </c>
      <c r="J128" s="11">
        <f t="shared" si="10"/>
        <v>59624318</v>
      </c>
      <c r="K128" s="11">
        <f t="shared" si="11"/>
        <v>321434438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492</v>
      </c>
      <c r="H129" s="11">
        <f t="shared" si="8"/>
        <v>1</v>
      </c>
      <c r="I129" s="11">
        <f t="shared" si="13"/>
        <v>1227500000</v>
      </c>
      <c r="J129" s="11">
        <f t="shared" si="10"/>
        <v>0</v>
      </c>
      <c r="K129" s="11">
        <f t="shared" si="11"/>
        <v>1227500000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478</v>
      </c>
      <c r="H130" s="11">
        <f t="shared" si="8"/>
        <v>0</v>
      </c>
      <c r="I130" s="11">
        <f t="shared" si="13"/>
        <v>-478000000</v>
      </c>
      <c r="J130" s="11">
        <f t="shared" si="10"/>
        <v>-478000000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473</v>
      </c>
      <c r="H131" s="11">
        <f t="shared" si="8"/>
        <v>0</v>
      </c>
      <c r="I131" s="11">
        <f t="shared" si="13"/>
        <v>-23650000000</v>
      </c>
      <c r="J131" s="11">
        <f t="shared" si="10"/>
        <v>0</v>
      </c>
      <c r="K131" s="11">
        <f t="shared" si="11"/>
        <v>-23650000000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465</v>
      </c>
      <c r="H132" s="11">
        <f t="shared" ref="H132:H313" si="15">IF(B132&gt;0,1,0)</f>
        <v>1</v>
      </c>
      <c r="I132" s="11">
        <f t="shared" si="13"/>
        <v>285029168</v>
      </c>
      <c r="J132" s="11">
        <f t="shared" ref="J132:J206" si="16">C132*(G132-H132)</f>
        <v>49170544</v>
      </c>
      <c r="K132" s="11">
        <f t="shared" ref="K132:K313" si="17">D132*(G132-H132)</f>
        <v>235858624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461</v>
      </c>
      <c r="H133" s="11">
        <f t="shared" si="15"/>
        <v>0</v>
      </c>
      <c r="I133" s="11">
        <f t="shared" si="13"/>
        <v>-558132700</v>
      </c>
      <c r="J133" s="11">
        <f t="shared" si="16"/>
        <v>0</v>
      </c>
      <c r="K133" s="11">
        <f t="shared" si="17"/>
        <v>-558132700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452</v>
      </c>
      <c r="H134" s="11">
        <f t="shared" si="15"/>
        <v>0</v>
      </c>
      <c r="I134" s="11">
        <f t="shared" si="13"/>
        <v>-29380000</v>
      </c>
      <c r="J134" s="11">
        <f t="shared" si="16"/>
        <v>0</v>
      </c>
      <c r="K134" s="11">
        <f t="shared" si="17"/>
        <v>-29380000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452</v>
      </c>
      <c r="H135" s="11">
        <f t="shared" si="15"/>
        <v>0</v>
      </c>
      <c r="I135" s="11">
        <f t="shared" si="13"/>
        <v>-14599600</v>
      </c>
      <c r="J135" s="11">
        <f t="shared" si="16"/>
        <v>0</v>
      </c>
      <c r="K135" s="11">
        <f t="shared" si="17"/>
        <v>-14599600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444</v>
      </c>
      <c r="H136" s="11">
        <f t="shared" si="15"/>
        <v>0</v>
      </c>
      <c r="I136" s="11">
        <f t="shared" si="13"/>
        <v>-444000000</v>
      </c>
      <c r="J136" s="11">
        <f t="shared" si="16"/>
        <v>-444000000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435</v>
      </c>
      <c r="H137" s="11">
        <f t="shared" si="15"/>
        <v>1</v>
      </c>
      <c r="I137" s="11">
        <f t="shared" si="13"/>
        <v>126238882</v>
      </c>
      <c r="J137" s="11">
        <f t="shared" si="16"/>
        <v>42253806</v>
      </c>
      <c r="K137" s="11">
        <f t="shared" si="17"/>
        <v>83985076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418</v>
      </c>
      <c r="H138" s="11">
        <f t="shared" si="15"/>
        <v>0</v>
      </c>
      <c r="I138" s="11">
        <f t="shared" si="13"/>
        <v>-418209000</v>
      </c>
      <c r="J138" s="11">
        <f t="shared" si="16"/>
        <v>-418209000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406</v>
      </c>
      <c r="H139" s="11">
        <f t="shared" si="15"/>
        <v>1</v>
      </c>
      <c r="I139" s="11">
        <f t="shared" si="13"/>
        <v>114307200</v>
      </c>
      <c r="J139" s="11">
        <f t="shared" si="16"/>
        <v>35966835</v>
      </c>
      <c r="K139" s="11">
        <f t="shared" si="17"/>
        <v>78340365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403</v>
      </c>
      <c r="H140" s="11">
        <f t="shared" si="15"/>
        <v>1</v>
      </c>
      <c r="I140" s="11">
        <f t="shared" si="13"/>
        <v>603000000</v>
      </c>
      <c r="J140" s="11">
        <f t="shared" si="16"/>
        <v>0</v>
      </c>
      <c r="K140" s="11">
        <f t="shared" si="17"/>
        <v>603000000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390</v>
      </c>
      <c r="H141" s="11">
        <f t="shared" si="15"/>
        <v>0</v>
      </c>
      <c r="I141" s="11">
        <f t="shared" si="13"/>
        <v>0</v>
      </c>
      <c r="J141" s="11">
        <f t="shared" si="16"/>
        <v>-390000000</v>
      </c>
      <c r="K141" s="11">
        <f t="shared" si="17"/>
        <v>390000000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376</v>
      </c>
      <c r="H142" s="11">
        <f t="shared" si="15"/>
        <v>1</v>
      </c>
      <c r="I142" s="11">
        <f t="shared" si="13"/>
        <v>109084875</v>
      </c>
      <c r="J142" s="11">
        <f t="shared" si="16"/>
        <v>30383250</v>
      </c>
      <c r="K142" s="11">
        <f t="shared" si="17"/>
        <v>78701625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356</v>
      </c>
      <c r="H143" s="11">
        <f t="shared" si="15"/>
        <v>0</v>
      </c>
      <c r="I143" s="11">
        <f t="shared" si="13"/>
        <v>0</v>
      </c>
      <c r="J143" s="11">
        <f t="shared" si="16"/>
        <v>-356000000</v>
      </c>
      <c r="K143" s="11">
        <f t="shared" si="17"/>
        <v>356000000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346</v>
      </c>
      <c r="H144" s="11">
        <f t="shared" si="15"/>
        <v>1</v>
      </c>
      <c r="I144" s="11">
        <f t="shared" si="13"/>
        <v>101723940</v>
      </c>
      <c r="J144" s="11">
        <f t="shared" si="16"/>
        <v>25756665</v>
      </c>
      <c r="K144" s="11">
        <f t="shared" si="17"/>
        <v>75967275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331</v>
      </c>
      <c r="H145" s="11">
        <f t="shared" si="15"/>
        <v>0</v>
      </c>
      <c r="I145" s="11">
        <f t="shared" si="13"/>
        <v>-3310000</v>
      </c>
      <c r="J145" s="11">
        <f t="shared" si="16"/>
        <v>-1655000</v>
      </c>
      <c r="K145" s="11">
        <f t="shared" si="17"/>
        <v>-1655000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326</v>
      </c>
      <c r="H146" s="11">
        <f t="shared" si="15"/>
        <v>0</v>
      </c>
      <c r="I146" s="11">
        <f t="shared" si="13"/>
        <v>-326163000</v>
      </c>
      <c r="J146" s="11">
        <f t="shared" si="16"/>
        <v>-326163000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320</v>
      </c>
      <c r="H147" s="11">
        <f t="shared" si="15"/>
        <v>0</v>
      </c>
      <c r="I147" s="11">
        <f t="shared" si="13"/>
        <v>-8640000000</v>
      </c>
      <c r="J147" s="11">
        <f t="shared" si="16"/>
        <v>0</v>
      </c>
      <c r="K147" s="11">
        <f t="shared" si="17"/>
        <v>-8640000000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317</v>
      </c>
      <c r="H148" s="11">
        <f t="shared" si="15"/>
        <v>1</v>
      </c>
      <c r="I148" s="11">
        <f t="shared" si="13"/>
        <v>79769776</v>
      </c>
      <c r="J148" s="11">
        <f t="shared" si="16"/>
        <v>20701160</v>
      </c>
      <c r="K148" s="11">
        <f t="shared" si="17"/>
        <v>59068616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13" si="18">B149-C149</f>
        <v>52400000</v>
      </c>
      <c r="E149" s="11" t="s">
        <v>1074</v>
      </c>
      <c r="F149" s="11">
        <v>7</v>
      </c>
      <c r="G149" s="36">
        <f t="shared" si="14"/>
        <v>309</v>
      </c>
      <c r="H149" s="11">
        <f t="shared" si="15"/>
        <v>1</v>
      </c>
      <c r="I149" s="11">
        <f t="shared" si="13"/>
        <v>16139200000</v>
      </c>
      <c r="J149" s="11">
        <f t="shared" si="16"/>
        <v>0</v>
      </c>
      <c r="K149" s="11">
        <f t="shared" si="17"/>
        <v>16139200000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302</v>
      </c>
      <c r="H150" s="11">
        <f t="shared" si="15"/>
        <v>0</v>
      </c>
      <c r="I150" s="11">
        <f t="shared" si="13"/>
        <v>-15704000000</v>
      </c>
      <c r="J150" s="11">
        <f t="shared" si="16"/>
        <v>0</v>
      </c>
      <c r="K150" s="11">
        <f t="shared" si="17"/>
        <v>-15704000000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297</v>
      </c>
      <c r="H151" s="99">
        <f t="shared" si="15"/>
        <v>0</v>
      </c>
      <c r="I151" s="99">
        <f t="shared" si="13"/>
        <v>-2376000000</v>
      </c>
      <c r="J151" s="99">
        <f t="shared" si="16"/>
        <v>-2011322907</v>
      </c>
      <c r="K151" s="11">
        <f t="shared" si="17"/>
        <v>-364677093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297</v>
      </c>
      <c r="H152" s="99">
        <f t="shared" si="15"/>
        <v>0</v>
      </c>
      <c r="I152" s="99">
        <f t="shared" si="13"/>
        <v>-9275310</v>
      </c>
      <c r="J152" s="99">
        <f t="shared" si="16"/>
        <v>0</v>
      </c>
      <c r="K152" s="99">
        <f t="shared" si="17"/>
        <v>-9275310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286</v>
      </c>
      <c r="H153" s="99">
        <f t="shared" si="15"/>
        <v>1</v>
      </c>
      <c r="I153" s="99">
        <f t="shared" si="13"/>
        <v>38499795</v>
      </c>
      <c r="J153" s="99">
        <f t="shared" si="16"/>
        <v>11722050</v>
      </c>
      <c r="K153" s="99">
        <f t="shared" si="17"/>
        <v>26777745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283</v>
      </c>
      <c r="H154" s="99">
        <f t="shared" si="15"/>
        <v>1</v>
      </c>
      <c r="I154" s="99">
        <f t="shared" si="13"/>
        <v>1924391124</v>
      </c>
      <c r="J154" s="99">
        <f t="shared" si="16"/>
        <v>1924391124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278</v>
      </c>
      <c r="H155" s="99">
        <f t="shared" si="15"/>
        <v>0</v>
      </c>
      <c r="I155" s="99">
        <f t="shared" si="13"/>
        <v>-55600000</v>
      </c>
      <c r="J155" s="99">
        <f t="shared" si="16"/>
        <v>0</v>
      </c>
      <c r="K155" s="99">
        <f t="shared" si="17"/>
        <v>-55600000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278</v>
      </c>
      <c r="H156" s="99">
        <f t="shared" si="15"/>
        <v>0</v>
      </c>
      <c r="I156" s="99">
        <f t="shared" si="13"/>
        <v>-68899520</v>
      </c>
      <c r="J156" s="99">
        <f t="shared" si="16"/>
        <v>0</v>
      </c>
      <c r="K156" s="99">
        <f t="shared" si="17"/>
        <v>-68899520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277</v>
      </c>
      <c r="H157" s="99">
        <f t="shared" si="15"/>
        <v>0</v>
      </c>
      <c r="I157" s="99">
        <f t="shared" si="13"/>
        <v>-44968180</v>
      </c>
      <c r="J157" s="99">
        <f t="shared" si="16"/>
        <v>0</v>
      </c>
      <c r="K157" s="99">
        <f t="shared" si="17"/>
        <v>-44968180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277</v>
      </c>
      <c r="H158" s="99">
        <f t="shared" si="15"/>
        <v>0</v>
      </c>
      <c r="I158" s="99">
        <f t="shared" si="13"/>
        <v>-831249300</v>
      </c>
      <c r="J158" s="99">
        <f t="shared" si="16"/>
        <v>0</v>
      </c>
      <c r="K158" s="99">
        <f t="shared" si="17"/>
        <v>-831249300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275</v>
      </c>
      <c r="H159" s="99">
        <f t="shared" si="15"/>
        <v>0</v>
      </c>
      <c r="I159" s="99">
        <f t="shared" si="13"/>
        <v>-275137500</v>
      </c>
      <c r="J159" s="99">
        <f t="shared" si="16"/>
        <v>0</v>
      </c>
      <c r="K159" s="99">
        <f t="shared" si="17"/>
        <v>-275137500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271</v>
      </c>
      <c r="H160" s="99">
        <f t="shared" si="15"/>
        <v>0</v>
      </c>
      <c r="I160" s="99">
        <f t="shared" si="13"/>
        <v>-27100000</v>
      </c>
      <c r="J160" s="99">
        <f t="shared" si="16"/>
        <v>0</v>
      </c>
      <c r="K160" s="99">
        <f t="shared" si="17"/>
        <v>-27100000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270</v>
      </c>
      <c r="H161" s="99">
        <f t="shared" si="15"/>
        <v>0</v>
      </c>
      <c r="I161" s="99">
        <f t="shared" si="13"/>
        <v>-540000000</v>
      </c>
      <c r="J161" s="99">
        <f t="shared" si="16"/>
        <v>0</v>
      </c>
      <c r="K161" s="99">
        <f t="shared" si="17"/>
        <v>-540000000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270</v>
      </c>
      <c r="H162" s="99">
        <f t="shared" si="15"/>
        <v>0</v>
      </c>
      <c r="I162" s="99">
        <f t="shared" si="13"/>
        <v>-270135000</v>
      </c>
      <c r="J162" s="99">
        <f t="shared" si="16"/>
        <v>0</v>
      </c>
      <c r="K162" s="99">
        <f t="shared" si="17"/>
        <v>-270135000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267</v>
      </c>
      <c r="H163" s="99">
        <f t="shared" si="15"/>
        <v>0</v>
      </c>
      <c r="I163" s="99">
        <f t="shared" si="13"/>
        <v>-1335000</v>
      </c>
      <c r="J163" s="99">
        <f t="shared" si="16"/>
        <v>0</v>
      </c>
      <c r="K163" s="99">
        <f t="shared" si="17"/>
        <v>-1335000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257</v>
      </c>
      <c r="H164" s="99">
        <f t="shared" si="15"/>
        <v>1</v>
      </c>
      <c r="I164" s="99">
        <f t="shared" si="13"/>
        <v>768000000</v>
      </c>
      <c r="J164" s="99">
        <f t="shared" si="16"/>
        <v>0</v>
      </c>
      <c r="K164" s="99">
        <f t="shared" si="17"/>
        <v>768000000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256</v>
      </c>
      <c r="H165" s="99">
        <f t="shared" si="15"/>
        <v>1</v>
      </c>
      <c r="I165" s="99">
        <f t="shared" si="13"/>
        <v>765000000</v>
      </c>
      <c r="J165" s="99">
        <f t="shared" si="16"/>
        <v>0</v>
      </c>
      <c r="K165" s="99">
        <f t="shared" si="17"/>
        <v>765000000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255</v>
      </c>
      <c r="H166" s="99">
        <f t="shared" si="15"/>
        <v>1</v>
      </c>
      <c r="I166" s="99">
        <f t="shared" si="13"/>
        <v>5159756</v>
      </c>
      <c r="J166" s="99">
        <f t="shared" si="16"/>
        <v>15199868</v>
      </c>
      <c r="K166" s="99">
        <f t="shared" si="17"/>
        <v>-10040112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250</v>
      </c>
      <c r="H167" s="99">
        <f t="shared" si="15"/>
        <v>0</v>
      </c>
      <c r="I167" s="99">
        <f t="shared" si="13"/>
        <v>-750225000</v>
      </c>
      <c r="J167" s="99">
        <f t="shared" si="16"/>
        <v>0</v>
      </c>
      <c r="K167" s="99">
        <f t="shared" si="17"/>
        <v>-750225000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232</v>
      </c>
      <c r="H168" s="99">
        <f t="shared" si="15"/>
        <v>0</v>
      </c>
      <c r="I168" s="99">
        <f t="shared" si="13"/>
        <v>-696208800</v>
      </c>
      <c r="J168" s="99">
        <f t="shared" si="16"/>
        <v>0</v>
      </c>
      <c r="K168" s="99">
        <f t="shared" si="17"/>
        <v>-696208800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224</v>
      </c>
      <c r="H169" s="99">
        <f t="shared" si="15"/>
        <v>1</v>
      </c>
      <c r="I169" s="99">
        <f t="shared" si="13"/>
        <v>4840215</v>
      </c>
      <c r="J169" s="99">
        <f t="shared" si="16"/>
        <v>15278845</v>
      </c>
      <c r="K169" s="99">
        <f t="shared" si="17"/>
        <v>-10438630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200</v>
      </c>
      <c r="H170" s="99">
        <f t="shared" si="15"/>
        <v>1</v>
      </c>
      <c r="I170" s="99">
        <f t="shared" si="13"/>
        <v>995000000</v>
      </c>
      <c r="J170" s="99">
        <f t="shared" si="16"/>
        <v>0</v>
      </c>
      <c r="K170" s="99">
        <f t="shared" si="17"/>
        <v>995000000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199</v>
      </c>
      <c r="H171" s="99">
        <f t="shared" si="15"/>
        <v>0</v>
      </c>
      <c r="I171" s="99">
        <f t="shared" si="13"/>
        <v>-995000000</v>
      </c>
      <c r="J171" s="99">
        <f t="shared" si="16"/>
        <v>0</v>
      </c>
      <c r="K171" s="99">
        <f t="shared" si="17"/>
        <v>-995000000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193</v>
      </c>
      <c r="H172" s="99">
        <f t="shared" si="15"/>
        <v>1</v>
      </c>
      <c r="I172" s="99">
        <f t="shared" si="13"/>
        <v>95232</v>
      </c>
      <c r="J172" s="99">
        <f t="shared" si="16"/>
        <v>12034752</v>
      </c>
      <c r="K172" s="99">
        <f t="shared" si="17"/>
        <v>-11939520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192</v>
      </c>
      <c r="H173" s="99">
        <f t="shared" si="15"/>
        <v>1</v>
      </c>
      <c r="I173" s="99">
        <f t="shared" si="13"/>
        <v>149935000</v>
      </c>
      <c r="J173" s="99">
        <f t="shared" si="16"/>
        <v>0</v>
      </c>
      <c r="K173" s="99">
        <f t="shared" si="17"/>
        <v>149935000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181</v>
      </c>
      <c r="H174" s="99">
        <f t="shared" si="15"/>
        <v>0</v>
      </c>
      <c r="I174" s="99">
        <f t="shared" si="13"/>
        <v>-5792000</v>
      </c>
      <c r="J174" s="99">
        <f t="shared" si="16"/>
        <v>0</v>
      </c>
      <c r="K174" s="99">
        <f t="shared" si="17"/>
        <v>-5792000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179</v>
      </c>
      <c r="H175" s="99">
        <f t="shared" si="15"/>
        <v>0</v>
      </c>
      <c r="I175" s="99">
        <f t="shared" si="13"/>
        <v>-134250000</v>
      </c>
      <c r="J175" s="99">
        <f t="shared" si="16"/>
        <v>0</v>
      </c>
      <c r="K175" s="99">
        <f t="shared" si="17"/>
        <v>-134250000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170</v>
      </c>
      <c r="H176" s="99">
        <f t="shared" si="15"/>
        <v>0</v>
      </c>
      <c r="I176" s="99">
        <f t="shared" si="13"/>
        <v>-1597320</v>
      </c>
      <c r="J176" s="99">
        <f t="shared" si="16"/>
        <v>0</v>
      </c>
      <c r="K176" s="99">
        <f t="shared" si="17"/>
        <v>-1597320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169</v>
      </c>
      <c r="H177" s="99">
        <f t="shared" si="15"/>
        <v>0</v>
      </c>
      <c r="I177" s="99">
        <f t="shared" si="13"/>
        <v>-7317700</v>
      </c>
      <c r="J177" s="99">
        <f t="shared" si="16"/>
        <v>0</v>
      </c>
      <c r="K177" s="99">
        <f t="shared" si="17"/>
        <v>-7317700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166</v>
      </c>
      <c r="H178" s="99">
        <f t="shared" si="15"/>
        <v>1</v>
      </c>
      <c r="I178" s="99">
        <f t="shared" si="13"/>
        <v>59400000</v>
      </c>
      <c r="J178" s="99">
        <f t="shared" si="16"/>
        <v>0</v>
      </c>
      <c r="K178" s="99">
        <f t="shared" si="17"/>
        <v>59400000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164</v>
      </c>
      <c r="H179" s="99">
        <f t="shared" si="15"/>
        <v>1</v>
      </c>
      <c r="I179" s="99">
        <f t="shared" si="13"/>
        <v>489000000</v>
      </c>
      <c r="J179" s="99">
        <f t="shared" si="16"/>
        <v>0</v>
      </c>
      <c r="K179" s="99">
        <f t="shared" si="17"/>
        <v>489000000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164</v>
      </c>
      <c r="H180" s="99">
        <f t="shared" si="15"/>
        <v>0</v>
      </c>
      <c r="I180" s="99">
        <f t="shared" si="13"/>
        <v>-1976200</v>
      </c>
      <c r="J180" s="99">
        <f t="shared" si="16"/>
        <v>0</v>
      </c>
      <c r="K180" s="99">
        <f t="shared" si="17"/>
        <v>-1976200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162</v>
      </c>
      <c r="H181" s="99">
        <f t="shared" si="15"/>
        <v>1</v>
      </c>
      <c r="I181" s="99">
        <f t="shared" si="13"/>
        <v>483000000</v>
      </c>
      <c r="J181" s="99">
        <f t="shared" si="16"/>
        <v>0</v>
      </c>
      <c r="K181" s="99">
        <f t="shared" si="17"/>
        <v>483000000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160</v>
      </c>
      <c r="H182" s="99">
        <f t="shared" si="15"/>
        <v>0</v>
      </c>
      <c r="I182" s="99">
        <f t="shared" si="13"/>
        <v>-5728000</v>
      </c>
      <c r="J182" s="99">
        <f t="shared" si="16"/>
        <v>0</v>
      </c>
      <c r="K182" s="99">
        <f t="shared" si="17"/>
        <v>-5728000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159</v>
      </c>
      <c r="H183" s="99">
        <f t="shared" si="15"/>
        <v>1</v>
      </c>
      <c r="I183" s="99">
        <f t="shared" si="13"/>
        <v>568800000</v>
      </c>
      <c r="J183" s="99">
        <f t="shared" si="16"/>
        <v>0</v>
      </c>
      <c r="K183" s="99">
        <f t="shared" si="17"/>
        <v>568800000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159</v>
      </c>
      <c r="H184" s="99">
        <f t="shared" si="15"/>
        <v>0</v>
      </c>
      <c r="I184" s="99">
        <f t="shared" si="13"/>
        <v>-5306943</v>
      </c>
      <c r="J184" s="99">
        <f t="shared" si="16"/>
        <v>0</v>
      </c>
      <c r="K184" s="99">
        <f t="shared" si="17"/>
        <v>-5306943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156</v>
      </c>
      <c r="H185" s="99">
        <f t="shared" si="15"/>
        <v>0</v>
      </c>
      <c r="I185" s="99">
        <f t="shared" si="13"/>
        <v>-1528800000</v>
      </c>
      <c r="J185" s="99">
        <f t="shared" si="16"/>
        <v>0</v>
      </c>
      <c r="K185" s="99">
        <f t="shared" si="17"/>
        <v>-1528800000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156</v>
      </c>
      <c r="H186" s="99">
        <f t="shared" si="15"/>
        <v>1</v>
      </c>
      <c r="I186" s="99">
        <f t="shared" si="13"/>
        <v>2790000000</v>
      </c>
      <c r="J186" s="99">
        <f t="shared" si="16"/>
        <v>0</v>
      </c>
      <c r="K186" s="99">
        <f t="shared" si="17"/>
        <v>2790000000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156</v>
      </c>
      <c r="H187" s="99">
        <f t="shared" si="15"/>
        <v>0</v>
      </c>
      <c r="I187" s="99">
        <f t="shared" si="13"/>
        <v>-1404000000</v>
      </c>
      <c r="J187" s="99">
        <f t="shared" si="16"/>
        <v>0</v>
      </c>
      <c r="K187" s="99">
        <f t="shared" si="17"/>
        <v>-1404000000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156</v>
      </c>
      <c r="H188" s="99">
        <f t="shared" si="15"/>
        <v>0</v>
      </c>
      <c r="I188" s="99">
        <f t="shared" si="13"/>
        <v>-1809600</v>
      </c>
      <c r="J188" s="99">
        <f t="shared" si="16"/>
        <v>0</v>
      </c>
      <c r="K188" s="99">
        <f t="shared" si="17"/>
        <v>-1809600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156</v>
      </c>
      <c r="H189" s="99">
        <f t="shared" si="15"/>
        <v>0</v>
      </c>
      <c r="I189" s="99">
        <f t="shared" si="13"/>
        <v>-515475012</v>
      </c>
      <c r="J189" s="99">
        <f t="shared" si="16"/>
        <v>0</v>
      </c>
      <c r="K189" s="99">
        <f t="shared" si="17"/>
        <v>-515475012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155</v>
      </c>
      <c r="H190" s="99">
        <f t="shared" si="15"/>
        <v>0</v>
      </c>
      <c r="I190" s="99">
        <f t="shared" si="13"/>
        <v>-465139500</v>
      </c>
      <c r="J190" s="99">
        <f t="shared" si="16"/>
        <v>0</v>
      </c>
      <c r="K190" s="99">
        <f t="shared" si="17"/>
        <v>-465139500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154</v>
      </c>
      <c r="H191" s="99">
        <f t="shared" si="15"/>
        <v>0</v>
      </c>
      <c r="I191" s="99">
        <f t="shared" si="13"/>
        <v>-425178600</v>
      </c>
      <c r="J191" s="99">
        <f t="shared" si="16"/>
        <v>0</v>
      </c>
      <c r="K191" s="99">
        <f t="shared" si="17"/>
        <v>-425178600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149</v>
      </c>
      <c r="H192" s="99">
        <f t="shared" si="15"/>
        <v>1</v>
      </c>
      <c r="I192" s="99">
        <f t="shared" si="13"/>
        <v>148000000</v>
      </c>
      <c r="J192" s="99">
        <f t="shared" si="16"/>
        <v>0</v>
      </c>
      <c r="K192" s="99">
        <f t="shared" si="17"/>
        <v>148000000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148</v>
      </c>
      <c r="H193" s="99">
        <f t="shared" si="15"/>
        <v>0</v>
      </c>
      <c r="I193" s="99">
        <f t="shared" si="13"/>
        <v>-2220000</v>
      </c>
      <c r="J193" s="99">
        <f t="shared" si="16"/>
        <v>0</v>
      </c>
      <c r="K193" s="99">
        <f t="shared" si="17"/>
        <v>-2220000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146</v>
      </c>
      <c r="H194" s="99">
        <f t="shared" si="15"/>
        <v>0</v>
      </c>
      <c r="I194" s="99">
        <f t="shared" si="13"/>
        <v>-144540000</v>
      </c>
      <c r="J194" s="99">
        <f t="shared" si="16"/>
        <v>0</v>
      </c>
      <c r="K194" s="99">
        <f t="shared" si="17"/>
        <v>-144540000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146</v>
      </c>
      <c r="H195" s="99">
        <f t="shared" si="15"/>
        <v>1</v>
      </c>
      <c r="I195" s="99">
        <f t="shared" si="13"/>
        <v>113535000</v>
      </c>
      <c r="J195" s="99">
        <f t="shared" si="16"/>
        <v>0</v>
      </c>
      <c r="K195" s="99">
        <f t="shared" si="17"/>
        <v>113535000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144</v>
      </c>
      <c r="H196" s="99">
        <f t="shared" si="15"/>
        <v>0</v>
      </c>
      <c r="I196" s="99">
        <f t="shared" si="13"/>
        <v>-108072000</v>
      </c>
      <c r="J196" s="99">
        <f t="shared" si="16"/>
        <v>0</v>
      </c>
      <c r="K196" s="99">
        <f t="shared" si="17"/>
        <v>-108072000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142</v>
      </c>
      <c r="H197" s="99">
        <f t="shared" si="15"/>
        <v>1</v>
      </c>
      <c r="I197" s="99">
        <f t="shared" si="13"/>
        <v>98700000</v>
      </c>
      <c r="J197" s="99">
        <f t="shared" si="16"/>
        <v>0</v>
      </c>
      <c r="K197" s="99">
        <f t="shared" si="17"/>
        <v>98700000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142</v>
      </c>
      <c r="H198" s="99">
        <f t="shared" si="15"/>
        <v>0</v>
      </c>
      <c r="I198" s="99">
        <f t="shared" si="13"/>
        <v>-14058000</v>
      </c>
      <c r="J198" s="99">
        <f t="shared" si="16"/>
        <v>0</v>
      </c>
      <c r="K198" s="99">
        <f t="shared" si="17"/>
        <v>-14058000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141</v>
      </c>
      <c r="H199" s="99">
        <f t="shared" si="15"/>
        <v>0</v>
      </c>
      <c r="I199" s="99">
        <f t="shared" si="13"/>
        <v>-29010750</v>
      </c>
      <c r="J199" s="99">
        <f t="shared" si="16"/>
        <v>0</v>
      </c>
      <c r="K199" s="99">
        <f t="shared" si="17"/>
        <v>-29010750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141</v>
      </c>
      <c r="H200" s="99">
        <f t="shared" si="15"/>
        <v>0</v>
      </c>
      <c r="I200" s="99">
        <f t="shared" si="13"/>
        <v>-13395000</v>
      </c>
      <c r="J200" s="99">
        <f t="shared" si="16"/>
        <v>0</v>
      </c>
      <c r="K200" s="99">
        <f t="shared" si="17"/>
        <v>-13395000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138</v>
      </c>
      <c r="H201" s="99">
        <f t="shared" si="15"/>
        <v>1</v>
      </c>
      <c r="I201" s="99">
        <f t="shared" si="13"/>
        <v>6665050000</v>
      </c>
      <c r="J201" s="99">
        <f t="shared" si="16"/>
        <v>0</v>
      </c>
      <c r="K201" s="99">
        <f t="shared" si="17"/>
        <v>6665050000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138</v>
      </c>
      <c r="H202" s="99">
        <f t="shared" si="15"/>
        <v>0</v>
      </c>
      <c r="I202" s="99">
        <f t="shared" si="13"/>
        <v>-414124200</v>
      </c>
      <c r="J202" s="99">
        <f t="shared" si="16"/>
        <v>0</v>
      </c>
      <c r="K202" s="99">
        <f t="shared" si="17"/>
        <v>-414124200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138</v>
      </c>
      <c r="H203" s="99">
        <f t="shared" si="15"/>
        <v>0</v>
      </c>
      <c r="I203" s="99">
        <f t="shared" si="13"/>
        <v>-690000</v>
      </c>
      <c r="J203" s="99">
        <f t="shared" si="16"/>
        <v>0</v>
      </c>
      <c r="K203" s="99">
        <f t="shared" si="17"/>
        <v>-690000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138</v>
      </c>
      <c r="H204" s="99">
        <f t="shared" si="15"/>
        <v>0</v>
      </c>
      <c r="I204" s="99">
        <f t="shared" si="13"/>
        <v>-4623000000</v>
      </c>
      <c r="J204" s="99">
        <f t="shared" si="16"/>
        <v>0</v>
      </c>
      <c r="K204" s="99">
        <f t="shared" si="17"/>
        <v>-4623000000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313" si="19">G206+F205</f>
        <v>137</v>
      </c>
      <c r="H205" s="99">
        <f t="shared" si="15"/>
        <v>0</v>
      </c>
      <c r="I205" s="99">
        <f t="shared" si="13"/>
        <v>-1703595000</v>
      </c>
      <c r="J205" s="99">
        <f t="shared" si="16"/>
        <v>0</v>
      </c>
      <c r="K205" s="99">
        <f t="shared" si="17"/>
        <v>-1703595000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134</v>
      </c>
      <c r="H206" s="99">
        <f t="shared" si="15"/>
        <v>0</v>
      </c>
      <c r="I206" s="99">
        <f t="shared" si="13"/>
        <v>-2479000</v>
      </c>
      <c r="J206" s="99">
        <f t="shared" si="16"/>
        <v>0</v>
      </c>
      <c r="K206" s="99">
        <f t="shared" si="17"/>
        <v>-2479000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132</v>
      </c>
      <c r="H207" s="99">
        <f t="shared" si="15"/>
        <v>1</v>
      </c>
      <c r="I207" s="99">
        <f t="shared" si="13"/>
        <v>1896880</v>
      </c>
      <c r="J207" s="99">
        <f t="shared" ref="J207:J313" si="20">C207*(G207-H207)</f>
        <v>9284494</v>
      </c>
      <c r="K207" s="99">
        <f t="shared" si="17"/>
        <v>-7387614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131</v>
      </c>
      <c r="H208" s="99">
        <f t="shared" si="15"/>
        <v>1</v>
      </c>
      <c r="I208" s="99">
        <f t="shared" si="13"/>
        <v>107900000</v>
      </c>
      <c r="J208" s="99">
        <f t="shared" si="20"/>
        <v>0</v>
      </c>
      <c r="K208" s="99">
        <f t="shared" si="17"/>
        <v>107900000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129</v>
      </c>
      <c r="H209" s="99">
        <f t="shared" si="15"/>
        <v>0</v>
      </c>
      <c r="I209" s="99">
        <f t="shared" si="13"/>
        <v>-6764760</v>
      </c>
      <c r="J209" s="99">
        <f t="shared" si="20"/>
        <v>0</v>
      </c>
      <c r="K209" s="99">
        <f t="shared" si="17"/>
        <v>-6764760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128</v>
      </c>
      <c r="H210" s="99">
        <f t="shared" si="15"/>
        <v>0</v>
      </c>
      <c r="I210" s="99">
        <f t="shared" si="13"/>
        <v>-6540800</v>
      </c>
      <c r="J210" s="99">
        <f t="shared" si="20"/>
        <v>0</v>
      </c>
      <c r="K210" s="99">
        <f t="shared" si="17"/>
        <v>-6540800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127</v>
      </c>
      <c r="H211" s="99">
        <f t="shared" si="15"/>
        <v>0</v>
      </c>
      <c r="I211" s="99">
        <f t="shared" si="13"/>
        <v>-25400000</v>
      </c>
      <c r="J211" s="99">
        <f t="shared" si="20"/>
        <v>0</v>
      </c>
      <c r="K211" s="99">
        <f t="shared" si="17"/>
        <v>-25400000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126</v>
      </c>
      <c r="H212" s="99">
        <f t="shared" si="15"/>
        <v>0</v>
      </c>
      <c r="I212" s="99">
        <f t="shared" si="13"/>
        <v>-3528000</v>
      </c>
      <c r="J212" s="99">
        <f t="shared" si="20"/>
        <v>0</v>
      </c>
      <c r="K212" s="99">
        <f t="shared" si="17"/>
        <v>-3528000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125</v>
      </c>
      <c r="H213" s="99">
        <f t="shared" si="15"/>
        <v>0</v>
      </c>
      <c r="I213" s="99">
        <f t="shared" si="13"/>
        <v>-7387500</v>
      </c>
      <c r="J213" s="99">
        <f t="shared" si="20"/>
        <v>0</v>
      </c>
      <c r="K213" s="99">
        <f t="shared" si="17"/>
        <v>-7387500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124</v>
      </c>
      <c r="H214" s="99">
        <f t="shared" si="15"/>
        <v>0</v>
      </c>
      <c r="I214" s="99">
        <f t="shared" si="13"/>
        <v>-3720000</v>
      </c>
      <c r="J214" s="99">
        <f t="shared" si="20"/>
        <v>0</v>
      </c>
      <c r="K214" s="99">
        <f t="shared" si="17"/>
        <v>-3720000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124</v>
      </c>
      <c r="H215" s="99">
        <f t="shared" si="15"/>
        <v>0</v>
      </c>
      <c r="I215" s="99">
        <f t="shared" si="13"/>
        <v>-22072000</v>
      </c>
      <c r="J215" s="99">
        <f t="shared" si="20"/>
        <v>0</v>
      </c>
      <c r="K215" s="99">
        <f t="shared" si="17"/>
        <v>-22072000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123</v>
      </c>
      <c r="H216" s="99">
        <f t="shared" si="15"/>
        <v>0</v>
      </c>
      <c r="I216" s="99">
        <f t="shared" si="13"/>
        <v>-11760030</v>
      </c>
      <c r="J216" s="99">
        <f t="shared" si="20"/>
        <v>0</v>
      </c>
      <c r="K216" s="99">
        <f t="shared" si="17"/>
        <v>-11760030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120</v>
      </c>
      <c r="H217" s="99">
        <f t="shared" si="15"/>
        <v>0</v>
      </c>
      <c r="I217" s="99">
        <f t="shared" si="13"/>
        <v>-10080000</v>
      </c>
      <c r="J217" s="99">
        <f t="shared" si="20"/>
        <v>0</v>
      </c>
      <c r="K217" s="99">
        <f t="shared" si="17"/>
        <v>-10080000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118</v>
      </c>
      <c r="H218" s="99">
        <f t="shared" si="15"/>
        <v>0</v>
      </c>
      <c r="I218" s="99">
        <f t="shared" si="13"/>
        <v>-3894000</v>
      </c>
      <c r="J218" s="99">
        <f t="shared" si="20"/>
        <v>0</v>
      </c>
      <c r="K218" s="99">
        <f t="shared" si="17"/>
        <v>-3894000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115</v>
      </c>
      <c r="H219" s="99">
        <f t="shared" si="15"/>
        <v>1</v>
      </c>
      <c r="I219" s="99">
        <f t="shared" si="13"/>
        <v>176472000</v>
      </c>
      <c r="J219" s="99">
        <f t="shared" si="20"/>
        <v>0</v>
      </c>
      <c r="K219" s="99">
        <f t="shared" si="17"/>
        <v>176472000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114</v>
      </c>
      <c r="H220" s="99">
        <f t="shared" si="15"/>
        <v>0</v>
      </c>
      <c r="I220" s="99">
        <f t="shared" si="13"/>
        <v>-159679800</v>
      </c>
      <c r="J220" s="99">
        <f t="shared" si="20"/>
        <v>0</v>
      </c>
      <c r="K220" s="99">
        <f t="shared" si="17"/>
        <v>-159679800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114</v>
      </c>
      <c r="H221" s="99">
        <f t="shared" si="15"/>
        <v>0</v>
      </c>
      <c r="I221" s="99">
        <f t="shared" si="13"/>
        <v>-1140000</v>
      </c>
      <c r="J221" s="99">
        <f t="shared" si="20"/>
        <v>0</v>
      </c>
      <c r="K221" s="99">
        <f t="shared" si="17"/>
        <v>-1140000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114</v>
      </c>
      <c r="H222" s="99">
        <f t="shared" si="15"/>
        <v>0</v>
      </c>
      <c r="I222" s="99">
        <f t="shared" si="13"/>
        <v>-570000</v>
      </c>
      <c r="J222" s="99">
        <f t="shared" si="20"/>
        <v>-285000</v>
      </c>
      <c r="K222" s="99">
        <f t="shared" si="17"/>
        <v>-285000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108</v>
      </c>
      <c r="H223" s="99">
        <f t="shared" si="15"/>
        <v>0</v>
      </c>
      <c r="I223" s="99">
        <f t="shared" si="13"/>
        <v>-20520000</v>
      </c>
      <c r="J223" s="99">
        <f t="shared" si="20"/>
        <v>0</v>
      </c>
      <c r="K223" s="99">
        <f t="shared" si="17"/>
        <v>-20520000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101</v>
      </c>
      <c r="H224" s="99">
        <f t="shared" si="15"/>
        <v>1</v>
      </c>
      <c r="I224" s="99">
        <f t="shared" si="13"/>
        <v>191100</v>
      </c>
      <c r="J224" s="99">
        <f t="shared" si="20"/>
        <v>6497200</v>
      </c>
      <c r="K224" s="99">
        <f t="shared" si="17"/>
        <v>-6306100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95</v>
      </c>
      <c r="H225" s="99">
        <f t="shared" si="15"/>
        <v>1</v>
      </c>
      <c r="I225" s="99">
        <f t="shared" si="13"/>
        <v>470000000</v>
      </c>
      <c r="J225" s="99">
        <f t="shared" si="20"/>
        <v>0</v>
      </c>
      <c r="K225" s="99">
        <f t="shared" si="17"/>
        <v>470000000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94</v>
      </c>
      <c r="H226" s="99">
        <f t="shared" si="15"/>
        <v>0</v>
      </c>
      <c r="I226" s="99">
        <f t="shared" si="13"/>
        <v>-300800000</v>
      </c>
      <c r="J226" s="99">
        <f t="shared" si="20"/>
        <v>0</v>
      </c>
      <c r="K226" s="99">
        <f t="shared" si="17"/>
        <v>-300800000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94</v>
      </c>
      <c r="H227" s="99">
        <f t="shared" si="15"/>
        <v>1</v>
      </c>
      <c r="I227" s="99">
        <f t="shared" si="13"/>
        <v>223200000</v>
      </c>
      <c r="J227" s="99">
        <f t="shared" si="20"/>
        <v>0</v>
      </c>
      <c r="K227" s="99">
        <f t="shared" si="17"/>
        <v>223200000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92</v>
      </c>
      <c r="H228" s="99">
        <f t="shared" si="15"/>
        <v>0</v>
      </c>
      <c r="I228" s="99">
        <f t="shared" si="13"/>
        <v>-4600000</v>
      </c>
      <c r="J228" s="99">
        <f t="shared" si="20"/>
        <v>0</v>
      </c>
      <c r="K228" s="99">
        <f t="shared" si="17"/>
        <v>-4600000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91</v>
      </c>
      <c r="H229" s="99">
        <f t="shared" si="15"/>
        <v>0</v>
      </c>
      <c r="I229" s="99">
        <f t="shared" si="13"/>
        <v>-373163700</v>
      </c>
      <c r="J229" s="99">
        <f t="shared" si="20"/>
        <v>0</v>
      </c>
      <c r="K229" s="99">
        <f t="shared" si="17"/>
        <v>-373163700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87</v>
      </c>
      <c r="H230" s="99">
        <f t="shared" si="15"/>
        <v>1</v>
      </c>
      <c r="I230" s="99">
        <f t="shared" si="13"/>
        <v>834200000</v>
      </c>
      <c r="J230" s="99">
        <f t="shared" si="20"/>
        <v>0</v>
      </c>
      <c r="K230" s="99">
        <f t="shared" si="17"/>
        <v>834200000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87</v>
      </c>
      <c r="H231" s="99">
        <f t="shared" si="15"/>
        <v>0</v>
      </c>
      <c r="I231" s="99">
        <f t="shared" si="13"/>
        <v>-261078300</v>
      </c>
      <c r="J231" s="99">
        <f t="shared" si="20"/>
        <v>0</v>
      </c>
      <c r="K231" s="99">
        <f t="shared" si="17"/>
        <v>-261078300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86</v>
      </c>
      <c r="H232" s="99">
        <f t="shared" si="15"/>
        <v>0</v>
      </c>
      <c r="I232" s="99">
        <f t="shared" si="13"/>
        <v>-258077400</v>
      </c>
      <c r="J232" s="99">
        <f t="shared" si="20"/>
        <v>0</v>
      </c>
      <c r="K232" s="99">
        <f t="shared" si="17"/>
        <v>-258077400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86</v>
      </c>
      <c r="H233" s="99">
        <f t="shared" si="15"/>
        <v>0</v>
      </c>
      <c r="I233" s="99">
        <f t="shared" si="13"/>
        <v>-47730000</v>
      </c>
      <c r="J233" s="99">
        <f t="shared" si="20"/>
        <v>0</v>
      </c>
      <c r="K233" s="99">
        <f t="shared" si="17"/>
        <v>-47730000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85</v>
      </c>
      <c r="H234" s="99">
        <f t="shared" si="15"/>
        <v>0</v>
      </c>
      <c r="I234" s="99">
        <f t="shared" si="13"/>
        <v>-11760600</v>
      </c>
      <c r="J234" s="99">
        <f t="shared" si="20"/>
        <v>0</v>
      </c>
      <c r="K234" s="99">
        <f t="shared" si="17"/>
        <v>-11760600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84</v>
      </c>
      <c r="H235" s="99">
        <f t="shared" si="15"/>
        <v>0</v>
      </c>
      <c r="I235" s="99">
        <f t="shared" si="13"/>
        <v>-252075600</v>
      </c>
      <c r="J235" s="99">
        <f t="shared" si="20"/>
        <v>0</v>
      </c>
      <c r="K235" s="99">
        <f t="shared" si="17"/>
        <v>-252075600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82</v>
      </c>
      <c r="H236" s="99">
        <f t="shared" si="15"/>
        <v>0</v>
      </c>
      <c r="I236" s="99">
        <f t="shared" si="13"/>
        <v>-4510000</v>
      </c>
      <c r="J236" s="99">
        <f t="shared" si="20"/>
        <v>0</v>
      </c>
      <c r="K236" s="99">
        <f t="shared" si="17"/>
        <v>-4510000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78</v>
      </c>
      <c r="H237" s="99">
        <f t="shared" si="15"/>
        <v>1</v>
      </c>
      <c r="I237" s="99">
        <f t="shared" si="13"/>
        <v>464695000</v>
      </c>
      <c r="J237" s="99">
        <f t="shared" si="20"/>
        <v>0</v>
      </c>
      <c r="K237" s="99">
        <f t="shared" si="17"/>
        <v>464695000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76</v>
      </c>
      <c r="H238" s="99">
        <f t="shared" si="15"/>
        <v>0</v>
      </c>
      <c r="I238" s="99">
        <f t="shared" si="13"/>
        <v>-570000</v>
      </c>
      <c r="J238" s="99">
        <f t="shared" si="20"/>
        <v>0</v>
      </c>
      <c r="K238" s="99">
        <f t="shared" si="17"/>
        <v>-570000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75</v>
      </c>
      <c r="H239" s="99">
        <f t="shared" si="15"/>
        <v>0</v>
      </c>
      <c r="I239" s="99">
        <f t="shared" si="13"/>
        <v>-307389225</v>
      </c>
      <c r="J239" s="99">
        <f t="shared" si="20"/>
        <v>0</v>
      </c>
      <c r="K239" s="99">
        <f t="shared" si="17"/>
        <v>-307389225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75</v>
      </c>
      <c r="H240" s="99">
        <f t="shared" si="15"/>
        <v>0</v>
      </c>
      <c r="I240" s="99">
        <f t="shared" si="13"/>
        <v>-2491875</v>
      </c>
      <c r="J240" s="99">
        <f t="shared" si="20"/>
        <v>0</v>
      </c>
      <c r="K240" s="99">
        <f t="shared" si="17"/>
        <v>-2491875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75</v>
      </c>
      <c r="H241" s="99">
        <f t="shared" si="15"/>
        <v>0</v>
      </c>
      <c r="I241" s="99">
        <f t="shared" si="13"/>
        <v>-142125000</v>
      </c>
      <c r="J241" s="99">
        <f t="shared" si="20"/>
        <v>0</v>
      </c>
      <c r="K241" s="99">
        <f t="shared" si="17"/>
        <v>-142125000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68</v>
      </c>
      <c r="H242" s="99">
        <f t="shared" si="15"/>
        <v>1</v>
      </c>
      <c r="I242" s="99">
        <f t="shared" si="13"/>
        <v>167500000</v>
      </c>
      <c r="J242" s="99">
        <f t="shared" si="20"/>
        <v>0</v>
      </c>
      <c r="K242" s="99">
        <f t="shared" si="17"/>
        <v>167500000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66</v>
      </c>
      <c r="H243" s="99">
        <f t="shared" si="15"/>
        <v>0</v>
      </c>
      <c r="I243" s="99">
        <f t="shared" si="13"/>
        <v>-165000000</v>
      </c>
      <c r="J243" s="99">
        <f t="shared" si="20"/>
        <v>0</v>
      </c>
      <c r="K243" s="99">
        <f t="shared" si="17"/>
        <v>-165000000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64</v>
      </c>
      <c r="H244" s="99">
        <f t="shared" si="15"/>
        <v>1</v>
      </c>
      <c r="I244" s="99">
        <f t="shared" si="13"/>
        <v>69300000</v>
      </c>
      <c r="J244" s="99">
        <f t="shared" si="20"/>
        <v>0</v>
      </c>
      <c r="K244" s="99">
        <f t="shared" si="17"/>
        <v>69300000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62</v>
      </c>
      <c r="H245" s="99">
        <f t="shared" si="15"/>
        <v>1</v>
      </c>
      <c r="I245" s="99">
        <f t="shared" si="13"/>
        <v>183000000</v>
      </c>
      <c r="J245" s="99">
        <f t="shared" si="20"/>
        <v>0</v>
      </c>
      <c r="K245" s="99">
        <f t="shared" si="17"/>
        <v>183000000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60</v>
      </c>
      <c r="H246" s="99">
        <f t="shared" si="15"/>
        <v>0</v>
      </c>
      <c r="I246" s="99">
        <f t="shared" si="13"/>
        <v>-242442000</v>
      </c>
      <c r="J246" s="99">
        <f t="shared" si="20"/>
        <v>0</v>
      </c>
      <c r="K246" s="99">
        <f t="shared" si="17"/>
        <v>-242442000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60</v>
      </c>
      <c r="H247" s="99">
        <f t="shared" si="15"/>
        <v>1</v>
      </c>
      <c r="I247" s="99">
        <f t="shared" si="13"/>
        <v>28910000</v>
      </c>
      <c r="J247" s="99">
        <f t="shared" si="20"/>
        <v>0</v>
      </c>
      <c r="K247" s="99">
        <f t="shared" si="17"/>
        <v>28910000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59</v>
      </c>
      <c r="H248" s="99">
        <f t="shared" si="15"/>
        <v>1</v>
      </c>
      <c r="I248" s="99">
        <f t="shared" si="13"/>
        <v>81200000</v>
      </c>
      <c r="J248" s="99">
        <f t="shared" si="20"/>
        <v>0</v>
      </c>
      <c r="K248" s="99">
        <f t="shared" si="17"/>
        <v>81200000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59</v>
      </c>
      <c r="H249" s="99">
        <f t="shared" si="15"/>
        <v>0</v>
      </c>
      <c r="I249" s="99">
        <f t="shared" si="13"/>
        <v>-88500000</v>
      </c>
      <c r="J249" s="99">
        <f t="shared" si="20"/>
        <v>0</v>
      </c>
      <c r="K249" s="99">
        <f t="shared" si="17"/>
        <v>-88500000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58</v>
      </c>
      <c r="H250" s="99">
        <f t="shared" si="15"/>
        <v>0</v>
      </c>
      <c r="I250" s="99">
        <f t="shared" si="13"/>
        <v>-5800000</v>
      </c>
      <c r="J250" s="99">
        <f t="shared" si="20"/>
        <v>0</v>
      </c>
      <c r="K250" s="99">
        <f t="shared" si="17"/>
        <v>-5800000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57</v>
      </c>
      <c r="H251" s="99">
        <f t="shared" si="15"/>
        <v>0</v>
      </c>
      <c r="I251" s="99">
        <f t="shared" si="13"/>
        <v>-792300</v>
      </c>
      <c r="J251" s="99">
        <f t="shared" si="20"/>
        <v>0</v>
      </c>
      <c r="K251" s="99">
        <f t="shared" si="17"/>
        <v>-792300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57</v>
      </c>
      <c r="H252" s="99">
        <f t="shared" si="15"/>
        <v>1</v>
      </c>
      <c r="I252" s="99">
        <f t="shared" si="13"/>
        <v>16800000</v>
      </c>
      <c r="J252" s="99">
        <f t="shared" si="20"/>
        <v>0</v>
      </c>
      <c r="K252" s="99">
        <f t="shared" si="17"/>
        <v>16800000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55</v>
      </c>
      <c r="H253" s="99">
        <f t="shared" si="15"/>
        <v>1</v>
      </c>
      <c r="I253" s="99">
        <f t="shared" si="13"/>
        <v>648000000</v>
      </c>
      <c r="J253" s="99">
        <f t="shared" si="20"/>
        <v>0</v>
      </c>
      <c r="K253" s="99">
        <f t="shared" si="17"/>
        <v>648000000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54</v>
      </c>
      <c r="H254" s="99">
        <f t="shared" si="15"/>
        <v>1</v>
      </c>
      <c r="I254" s="99">
        <f t="shared" si="13"/>
        <v>159000000</v>
      </c>
      <c r="J254" s="99">
        <f t="shared" si="20"/>
        <v>0</v>
      </c>
      <c r="K254" s="99">
        <f t="shared" si="17"/>
        <v>159000000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53</v>
      </c>
      <c r="H255" s="99">
        <f t="shared" si="15"/>
        <v>0</v>
      </c>
      <c r="I255" s="99">
        <f t="shared" si="13"/>
        <v>-742000000</v>
      </c>
      <c r="J255" s="99">
        <f t="shared" si="20"/>
        <v>0</v>
      </c>
      <c r="K255" s="99">
        <f t="shared" si="17"/>
        <v>-742000000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52</v>
      </c>
      <c r="H256" s="99">
        <f t="shared" si="15"/>
        <v>0</v>
      </c>
      <c r="I256" s="99">
        <f t="shared" si="13"/>
        <v>-6498388</v>
      </c>
      <c r="J256" s="99">
        <f t="shared" si="20"/>
        <v>0</v>
      </c>
      <c r="K256" s="99">
        <f t="shared" si="17"/>
        <v>-6498388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52</v>
      </c>
      <c r="H257" s="99">
        <f t="shared" si="15"/>
        <v>0</v>
      </c>
      <c r="I257" s="99">
        <f t="shared" si="13"/>
        <v>0</v>
      </c>
      <c r="J257" s="99">
        <f t="shared" si="20"/>
        <v>-414377028</v>
      </c>
      <c r="K257" s="99">
        <f t="shared" si="17"/>
        <v>414377028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51</v>
      </c>
      <c r="H258" s="99">
        <f t="shared" si="15"/>
        <v>0</v>
      </c>
      <c r="I258" s="99">
        <f t="shared" si="13"/>
        <v>-66963000</v>
      </c>
      <c r="J258" s="99">
        <f t="shared" si="20"/>
        <v>0</v>
      </c>
      <c r="K258" s="99">
        <f t="shared" si="17"/>
        <v>-66963000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48</v>
      </c>
      <c r="H259" s="99">
        <f t="shared" si="15"/>
        <v>1</v>
      </c>
      <c r="I259" s="99">
        <f t="shared" si="13"/>
        <v>94000000</v>
      </c>
      <c r="J259" s="99">
        <f t="shared" si="20"/>
        <v>0</v>
      </c>
      <c r="K259" s="99">
        <f t="shared" si="17"/>
        <v>94000000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47</v>
      </c>
      <c r="H260" s="99">
        <f t="shared" si="15"/>
        <v>0</v>
      </c>
      <c r="I260" s="99">
        <f t="shared" si="13"/>
        <v>-89300000</v>
      </c>
      <c r="J260" s="99">
        <f t="shared" si="20"/>
        <v>0</v>
      </c>
      <c r="K260" s="99">
        <f t="shared" si="17"/>
        <v>-89300000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47</v>
      </c>
      <c r="H261" s="99">
        <f t="shared" si="15"/>
        <v>0</v>
      </c>
      <c r="I261" s="99">
        <f t="shared" si="13"/>
        <v>-4723500</v>
      </c>
      <c r="J261" s="99">
        <f t="shared" si="20"/>
        <v>0</v>
      </c>
      <c r="K261" s="99">
        <f t="shared" si="17"/>
        <v>-4723500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47</v>
      </c>
      <c r="H262" s="99">
        <f t="shared" si="15"/>
        <v>0</v>
      </c>
      <c r="I262" s="99">
        <f t="shared" si="13"/>
        <v>-3227490</v>
      </c>
      <c r="J262" s="99">
        <f t="shared" si="20"/>
        <v>0</v>
      </c>
      <c r="K262" s="99">
        <f t="shared" si="17"/>
        <v>-3227490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46</v>
      </c>
      <c r="H263" s="99">
        <f t="shared" si="15"/>
        <v>0</v>
      </c>
      <c r="I263" s="99">
        <f t="shared" si="13"/>
        <v>-5455600</v>
      </c>
      <c r="J263" s="99">
        <f t="shared" si="20"/>
        <v>0</v>
      </c>
      <c r="K263" s="99">
        <f t="shared" si="17"/>
        <v>-5455600</v>
      </c>
      <c r="L263" t="s">
        <v>25</v>
      </c>
    </row>
    <row r="264" spans="1:13">
      <c r="A264" s="99" t="s">
        <v>4538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44</v>
      </c>
      <c r="H264" s="99">
        <f t="shared" si="15"/>
        <v>1</v>
      </c>
      <c r="I264" s="99">
        <f t="shared" si="13"/>
        <v>291497000</v>
      </c>
      <c r="J264" s="99">
        <f t="shared" si="20"/>
        <v>0</v>
      </c>
      <c r="K264" s="99">
        <f t="shared" si="17"/>
        <v>291497000</v>
      </c>
    </row>
    <row r="265" spans="1:13">
      <c r="A265" s="99" t="s">
        <v>4538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44</v>
      </c>
      <c r="H265" s="99">
        <f t="shared" si="15"/>
        <v>0</v>
      </c>
      <c r="I265" s="99">
        <f t="shared" si="13"/>
        <v>-281600000</v>
      </c>
      <c r="J265" s="99">
        <f t="shared" si="20"/>
        <v>0</v>
      </c>
      <c r="K265" s="99">
        <f t="shared" si="17"/>
        <v>-281600000</v>
      </c>
    </row>
    <row r="266" spans="1:13">
      <c r="A266" s="99" t="s">
        <v>4538</v>
      </c>
      <c r="B266" s="18">
        <v>-389000</v>
      </c>
      <c r="C266" s="18">
        <v>0</v>
      </c>
      <c r="D266" s="18">
        <f t="shared" si="18"/>
        <v>-389000</v>
      </c>
      <c r="E266" s="99" t="s">
        <v>4541</v>
      </c>
      <c r="F266" s="99">
        <v>4</v>
      </c>
      <c r="G266" s="36">
        <f t="shared" si="21"/>
        <v>44</v>
      </c>
      <c r="H266" s="99">
        <f t="shared" si="15"/>
        <v>0</v>
      </c>
      <c r="I266" s="99">
        <f t="shared" si="13"/>
        <v>-17116000</v>
      </c>
      <c r="J266" s="99">
        <f t="shared" si="20"/>
        <v>0</v>
      </c>
      <c r="K266" s="99">
        <f t="shared" si="17"/>
        <v>-17116000</v>
      </c>
      <c r="M266" t="s">
        <v>25</v>
      </c>
    </row>
    <row r="267" spans="1:13">
      <c r="A267" s="99" t="s">
        <v>4566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40</v>
      </c>
      <c r="H267" s="99">
        <f t="shared" si="15"/>
        <v>1</v>
      </c>
      <c r="I267" s="99">
        <f t="shared" si="13"/>
        <v>8580000</v>
      </c>
      <c r="J267" s="99">
        <f t="shared" si="20"/>
        <v>0</v>
      </c>
      <c r="K267" s="99">
        <f t="shared" si="17"/>
        <v>8580000</v>
      </c>
    </row>
    <row r="268" spans="1:13">
      <c r="A268" s="99" t="s">
        <v>4567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40</v>
      </c>
      <c r="H268" s="99">
        <f t="shared" si="15"/>
        <v>0</v>
      </c>
      <c r="I268" s="99">
        <f t="shared" si="13"/>
        <v>-4375600</v>
      </c>
      <c r="J268" s="99">
        <f t="shared" si="20"/>
        <v>0</v>
      </c>
      <c r="K268" s="99">
        <f t="shared" si="17"/>
        <v>-4375600</v>
      </c>
    </row>
    <row r="269" spans="1:13">
      <c r="A269" s="99" t="s">
        <v>4570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38</v>
      </c>
      <c r="H269" s="99">
        <f t="shared" si="15"/>
        <v>1</v>
      </c>
      <c r="I269" s="99">
        <f t="shared" si="13"/>
        <v>3700000</v>
      </c>
      <c r="J269" s="99">
        <f t="shared" si="20"/>
        <v>0</v>
      </c>
      <c r="K269" s="99">
        <f t="shared" si="17"/>
        <v>3700000</v>
      </c>
    </row>
    <row r="270" spans="1:13">
      <c r="A270" s="99" t="s">
        <v>4570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38</v>
      </c>
      <c r="H270" s="99">
        <f t="shared" si="15"/>
        <v>1</v>
      </c>
      <c r="I270" s="99">
        <f t="shared" si="13"/>
        <v>96200000</v>
      </c>
      <c r="J270" s="99">
        <f t="shared" si="20"/>
        <v>0</v>
      </c>
      <c r="K270" s="99">
        <f t="shared" si="17"/>
        <v>96200000</v>
      </c>
      <c r="L270" t="s">
        <v>25</v>
      </c>
    </row>
    <row r="271" spans="1:13">
      <c r="A271" s="99" t="s">
        <v>4573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37</v>
      </c>
      <c r="H271" s="99">
        <f t="shared" si="15"/>
        <v>1</v>
      </c>
      <c r="I271" s="99">
        <f t="shared" si="13"/>
        <v>158400000</v>
      </c>
      <c r="J271" s="99">
        <f t="shared" si="20"/>
        <v>0</v>
      </c>
      <c r="K271" s="99">
        <f t="shared" si="17"/>
        <v>158400000</v>
      </c>
    </row>
    <row r="272" spans="1:13">
      <c r="A272" s="99" t="s">
        <v>4573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37</v>
      </c>
      <c r="H272" s="99">
        <f t="shared" si="15"/>
        <v>0</v>
      </c>
      <c r="I272" s="99">
        <f t="shared" si="13"/>
        <v>-3515000</v>
      </c>
      <c r="J272" s="99">
        <f t="shared" si="20"/>
        <v>0</v>
      </c>
      <c r="K272" s="99">
        <f t="shared" si="17"/>
        <v>-3515000</v>
      </c>
    </row>
    <row r="273" spans="1:12">
      <c r="A273" s="99" t="s">
        <v>4578</v>
      </c>
      <c r="B273" s="18">
        <v>-900000</v>
      </c>
      <c r="C273" s="18">
        <v>0</v>
      </c>
      <c r="D273" s="18">
        <f t="shared" si="18"/>
        <v>-900000</v>
      </c>
      <c r="E273" s="99" t="s">
        <v>4585</v>
      </c>
      <c r="F273" s="99">
        <v>1</v>
      </c>
      <c r="G273" s="36">
        <f t="shared" si="21"/>
        <v>36</v>
      </c>
      <c r="H273" s="99">
        <f t="shared" si="15"/>
        <v>0</v>
      </c>
      <c r="I273" s="99">
        <f t="shared" si="13"/>
        <v>-32400000</v>
      </c>
      <c r="J273" s="99">
        <f t="shared" si="20"/>
        <v>0</v>
      </c>
      <c r="K273" s="99">
        <f t="shared" si="17"/>
        <v>-32400000</v>
      </c>
    </row>
    <row r="274" spans="1:12">
      <c r="A274" s="99" t="s">
        <v>4582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35</v>
      </c>
      <c r="H274" s="99">
        <f t="shared" si="15"/>
        <v>1</v>
      </c>
      <c r="I274" s="99">
        <f t="shared" si="13"/>
        <v>85000000</v>
      </c>
      <c r="J274" s="99">
        <f t="shared" si="20"/>
        <v>0</v>
      </c>
      <c r="K274" s="99">
        <f t="shared" si="17"/>
        <v>85000000</v>
      </c>
    </row>
    <row r="275" spans="1:12">
      <c r="A275" s="99" t="s">
        <v>4582</v>
      </c>
      <c r="B275" s="18">
        <v>-1287000</v>
      </c>
      <c r="C275" s="18">
        <v>0</v>
      </c>
      <c r="D275" s="18">
        <f t="shared" si="18"/>
        <v>-1287000</v>
      </c>
      <c r="E275" s="99" t="s">
        <v>4583</v>
      </c>
      <c r="F275" s="99">
        <v>2</v>
      </c>
      <c r="G275" s="36">
        <f t="shared" si="21"/>
        <v>35</v>
      </c>
      <c r="H275" s="99">
        <f t="shared" si="15"/>
        <v>0</v>
      </c>
      <c r="I275" s="99">
        <f t="shared" si="13"/>
        <v>-45045000</v>
      </c>
      <c r="J275" s="99">
        <f t="shared" si="20"/>
        <v>0</v>
      </c>
      <c r="K275" s="99">
        <f t="shared" si="17"/>
        <v>-45045000</v>
      </c>
    </row>
    <row r="276" spans="1:12">
      <c r="A276" s="99" t="s">
        <v>4579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33</v>
      </c>
      <c r="H276" s="99">
        <f t="shared" si="15"/>
        <v>1</v>
      </c>
      <c r="I276" s="99">
        <f t="shared" si="13"/>
        <v>121600000</v>
      </c>
      <c r="J276" s="99">
        <f t="shared" si="20"/>
        <v>0</v>
      </c>
      <c r="K276" s="99">
        <f t="shared" si="17"/>
        <v>121600000</v>
      </c>
    </row>
    <row r="277" spans="1:12">
      <c r="A277" s="99" t="s">
        <v>4592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32</v>
      </c>
      <c r="H277" s="99">
        <f t="shared" si="15"/>
        <v>1</v>
      </c>
      <c r="I277" s="99">
        <f t="shared" si="13"/>
        <v>651000000</v>
      </c>
      <c r="J277" s="99">
        <f t="shared" si="20"/>
        <v>0</v>
      </c>
      <c r="K277" s="99">
        <f t="shared" si="17"/>
        <v>651000000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31</v>
      </c>
      <c r="H278" s="99">
        <f t="shared" si="15"/>
        <v>1</v>
      </c>
      <c r="I278" s="99">
        <f t="shared" si="13"/>
        <v>90000000</v>
      </c>
      <c r="J278" s="99">
        <f t="shared" si="20"/>
        <v>0</v>
      </c>
      <c r="K278" s="99">
        <f t="shared" si="17"/>
        <v>90000000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31</v>
      </c>
      <c r="H279" s="99">
        <f t="shared" si="15"/>
        <v>1</v>
      </c>
      <c r="I279" s="99">
        <f t="shared" si="13"/>
        <v>60000000</v>
      </c>
      <c r="J279" s="99">
        <f t="shared" si="20"/>
        <v>0</v>
      </c>
      <c r="K279" s="99">
        <f t="shared" si="17"/>
        <v>60000000</v>
      </c>
    </row>
    <row r="280" spans="1:12">
      <c r="A280" s="99" t="s">
        <v>4599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30</v>
      </c>
      <c r="H280" s="99">
        <f t="shared" si="15"/>
        <v>0</v>
      </c>
      <c r="I280" s="99">
        <f t="shared" si="13"/>
        <v>-60000000</v>
      </c>
      <c r="J280" s="99">
        <f t="shared" si="20"/>
        <v>0</v>
      </c>
      <c r="K280" s="99">
        <f t="shared" si="17"/>
        <v>-60000000</v>
      </c>
    </row>
    <row r="281" spans="1:12">
      <c r="A281" s="99" t="s">
        <v>4601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29</v>
      </c>
      <c r="H281" s="99">
        <f t="shared" si="15"/>
        <v>0</v>
      </c>
      <c r="I281" s="99">
        <f t="shared" si="13"/>
        <v>-290000000</v>
      </c>
      <c r="J281" s="99">
        <f t="shared" si="20"/>
        <v>0</v>
      </c>
      <c r="K281" s="99">
        <f t="shared" si="17"/>
        <v>-290000000</v>
      </c>
    </row>
    <row r="282" spans="1:12">
      <c r="A282" s="99" t="s">
        <v>4603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25</v>
      </c>
      <c r="H282" s="99">
        <f t="shared" si="15"/>
        <v>0</v>
      </c>
      <c r="I282" s="99">
        <f t="shared" si="13"/>
        <v>-417500000</v>
      </c>
      <c r="J282" s="99">
        <f t="shared" ref="J282:J296" si="22">C282*(G282-H282)</f>
        <v>0</v>
      </c>
      <c r="K282" s="99">
        <f t="shared" ref="K282:K296" si="23">D282*(G282-H282)</f>
        <v>-417500000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23</v>
      </c>
      <c r="H283" s="99">
        <f t="shared" si="15"/>
        <v>1</v>
      </c>
      <c r="I283" s="99">
        <f t="shared" si="13"/>
        <v>264000000</v>
      </c>
      <c r="J283" s="99">
        <f t="shared" si="22"/>
        <v>0</v>
      </c>
      <c r="K283" s="99">
        <f t="shared" si="23"/>
        <v>264000000</v>
      </c>
    </row>
    <row r="284" spans="1:12">
      <c r="A284" s="99" t="s">
        <v>4618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22</v>
      </c>
      <c r="H284" s="99">
        <f t="shared" si="15"/>
        <v>1</v>
      </c>
      <c r="I284" s="99">
        <f t="shared" si="13"/>
        <v>39900000</v>
      </c>
      <c r="J284" s="99">
        <f t="shared" si="22"/>
        <v>0</v>
      </c>
      <c r="K284" s="99">
        <f t="shared" si="23"/>
        <v>39900000</v>
      </c>
    </row>
    <row r="285" spans="1:12">
      <c r="A285" s="99" t="s">
        <v>4618</v>
      </c>
      <c r="B285" s="18">
        <v>-3995000</v>
      </c>
      <c r="C285" s="18">
        <v>0</v>
      </c>
      <c r="D285" s="18">
        <f t="shared" si="18"/>
        <v>-3995000</v>
      </c>
      <c r="E285" s="99" t="s">
        <v>4620</v>
      </c>
      <c r="F285" s="99">
        <v>3</v>
      </c>
      <c r="G285" s="36">
        <f t="shared" si="21"/>
        <v>22</v>
      </c>
      <c r="H285" s="99">
        <f t="shared" si="15"/>
        <v>0</v>
      </c>
      <c r="I285" s="99">
        <f t="shared" si="13"/>
        <v>-87890000</v>
      </c>
      <c r="J285" s="99">
        <f t="shared" si="22"/>
        <v>0</v>
      </c>
      <c r="K285" s="99">
        <f t="shared" si="23"/>
        <v>-87890000</v>
      </c>
    </row>
    <row r="286" spans="1:12">
      <c r="A286" s="99" t="s">
        <v>4628</v>
      </c>
      <c r="B286" s="18">
        <v>-2010700</v>
      </c>
      <c r="C286" s="18">
        <v>0</v>
      </c>
      <c r="D286" s="18">
        <f t="shared" si="18"/>
        <v>-2010700</v>
      </c>
      <c r="E286" s="99" t="s">
        <v>4633</v>
      </c>
      <c r="F286" s="99">
        <v>0</v>
      </c>
      <c r="G286" s="36">
        <f t="shared" si="21"/>
        <v>19</v>
      </c>
      <c r="H286" s="99">
        <f t="shared" si="15"/>
        <v>0</v>
      </c>
      <c r="I286" s="99">
        <f t="shared" si="13"/>
        <v>-38203300</v>
      </c>
      <c r="J286" s="99">
        <f t="shared" si="22"/>
        <v>0</v>
      </c>
      <c r="K286" s="99">
        <f t="shared" si="23"/>
        <v>-38203300</v>
      </c>
    </row>
    <row r="287" spans="1:12">
      <c r="A287" s="99" t="s">
        <v>4628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19</v>
      </c>
      <c r="H287" s="99">
        <f t="shared" si="15"/>
        <v>0</v>
      </c>
      <c r="I287" s="99">
        <f t="shared" si="13"/>
        <v>-76000000</v>
      </c>
      <c r="J287" s="99">
        <f t="shared" si="22"/>
        <v>0</v>
      </c>
      <c r="K287" s="99">
        <f t="shared" si="23"/>
        <v>-76000000</v>
      </c>
    </row>
    <row r="288" spans="1:12">
      <c r="A288" s="99" t="s">
        <v>4634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18</v>
      </c>
      <c r="H288" s="99">
        <f t="shared" si="15"/>
        <v>0</v>
      </c>
      <c r="I288" s="99">
        <f t="shared" si="13"/>
        <v>-102600000</v>
      </c>
      <c r="J288" s="99">
        <f t="shared" si="22"/>
        <v>0</v>
      </c>
      <c r="K288" s="99">
        <f t="shared" si="23"/>
        <v>-102600000</v>
      </c>
      <c r="L288" t="s">
        <v>25</v>
      </c>
    </row>
    <row r="289" spans="1:13">
      <c r="A289" s="99" t="s">
        <v>4644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16</v>
      </c>
      <c r="H289" s="99">
        <f t="shared" si="15"/>
        <v>1</v>
      </c>
      <c r="I289" s="99">
        <f t="shared" si="13"/>
        <v>120000000</v>
      </c>
      <c r="J289" s="99">
        <f t="shared" si="22"/>
        <v>0</v>
      </c>
      <c r="K289" s="99">
        <f t="shared" si="23"/>
        <v>120000000</v>
      </c>
    </row>
    <row r="290" spans="1:13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15</v>
      </c>
      <c r="H290" s="99">
        <f t="shared" si="15"/>
        <v>0</v>
      </c>
      <c r="I290" s="99">
        <f t="shared" si="13"/>
        <v>-120000000</v>
      </c>
      <c r="J290" s="99">
        <f t="shared" si="22"/>
        <v>0</v>
      </c>
      <c r="K290" s="99">
        <f t="shared" si="23"/>
        <v>-120000000</v>
      </c>
    </row>
    <row r="291" spans="1:13">
      <c r="A291" s="99" t="s">
        <v>4650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0</v>
      </c>
      <c r="G291" s="36">
        <f t="shared" si="21"/>
        <v>12</v>
      </c>
      <c r="H291" s="99">
        <f t="shared" si="15"/>
        <v>0</v>
      </c>
      <c r="I291" s="99">
        <f t="shared" si="13"/>
        <v>-72000000</v>
      </c>
      <c r="J291" s="99">
        <f t="shared" si="22"/>
        <v>0</v>
      </c>
      <c r="K291" s="99">
        <f t="shared" si="23"/>
        <v>-72000000</v>
      </c>
    </row>
    <row r="292" spans="1:13">
      <c r="A292" s="99" t="s">
        <v>4650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12</v>
      </c>
      <c r="H292" s="99">
        <f t="shared" si="15"/>
        <v>0</v>
      </c>
      <c r="I292" s="99">
        <f t="shared" si="13"/>
        <v>-927780</v>
      </c>
      <c r="J292" s="99">
        <f t="shared" si="22"/>
        <v>0</v>
      </c>
      <c r="K292" s="99">
        <f t="shared" si="23"/>
        <v>-927780</v>
      </c>
    </row>
    <row r="293" spans="1:13">
      <c r="A293" s="99" t="s">
        <v>4658</v>
      </c>
      <c r="B293" s="18">
        <v>-96850</v>
      </c>
      <c r="C293" s="18">
        <v>0</v>
      </c>
      <c r="D293" s="18">
        <f t="shared" si="18"/>
        <v>-96850</v>
      </c>
      <c r="E293" s="99" t="s">
        <v>4670</v>
      </c>
      <c r="F293" s="99">
        <v>2</v>
      </c>
      <c r="G293" s="36">
        <f t="shared" si="21"/>
        <v>11</v>
      </c>
      <c r="H293" s="99">
        <f t="shared" si="15"/>
        <v>0</v>
      </c>
      <c r="I293" s="99">
        <f t="shared" si="13"/>
        <v>-1065350</v>
      </c>
      <c r="J293" s="99">
        <f t="shared" si="22"/>
        <v>0</v>
      </c>
      <c r="K293" s="99">
        <f t="shared" si="23"/>
        <v>-1065350</v>
      </c>
    </row>
    <row r="294" spans="1:13">
      <c r="A294" s="99" t="s">
        <v>4674</v>
      </c>
      <c r="B294" s="18">
        <v>-45000</v>
      </c>
      <c r="C294" s="18">
        <v>0</v>
      </c>
      <c r="D294" s="18">
        <f t="shared" si="18"/>
        <v>-45000</v>
      </c>
      <c r="E294" s="99" t="s">
        <v>3771</v>
      </c>
      <c r="F294" s="99">
        <v>0</v>
      </c>
      <c r="G294" s="36">
        <f t="shared" si="21"/>
        <v>9</v>
      </c>
      <c r="H294" s="99">
        <f t="shared" si="15"/>
        <v>0</v>
      </c>
      <c r="I294" s="99">
        <f t="shared" si="13"/>
        <v>-405000</v>
      </c>
      <c r="J294" s="99">
        <f t="shared" si="22"/>
        <v>0</v>
      </c>
      <c r="K294" s="99">
        <f t="shared" si="23"/>
        <v>-405000</v>
      </c>
    </row>
    <row r="295" spans="1:13">
      <c r="A295" s="99" t="s">
        <v>4674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9</v>
      </c>
      <c r="H295" s="99">
        <f t="shared" si="15"/>
        <v>0</v>
      </c>
      <c r="I295" s="99">
        <f t="shared" si="13"/>
        <v>-430632</v>
      </c>
      <c r="J295" s="99">
        <f t="shared" si="22"/>
        <v>0</v>
      </c>
      <c r="K295" s="99">
        <f t="shared" si="23"/>
        <v>-430632</v>
      </c>
      <c r="M295" t="s">
        <v>25</v>
      </c>
    </row>
    <row r="296" spans="1:13">
      <c r="A296" s="99" t="s">
        <v>4691</v>
      </c>
      <c r="B296" s="18">
        <v>-200000</v>
      </c>
      <c r="C296" s="18">
        <v>0</v>
      </c>
      <c r="D296" s="18">
        <f t="shared" si="18"/>
        <v>-200000</v>
      </c>
      <c r="E296" s="99" t="s">
        <v>4692</v>
      </c>
      <c r="F296" s="99">
        <v>3</v>
      </c>
      <c r="G296" s="36">
        <f t="shared" si="21"/>
        <v>8</v>
      </c>
      <c r="H296" s="99">
        <f t="shared" si="15"/>
        <v>0</v>
      </c>
      <c r="I296" s="99">
        <f t="shared" si="13"/>
        <v>-1600000</v>
      </c>
      <c r="J296" s="99">
        <f t="shared" si="22"/>
        <v>0</v>
      </c>
      <c r="K296" s="99">
        <f t="shared" si="23"/>
        <v>-1600000</v>
      </c>
    </row>
    <row r="297" spans="1:13">
      <c r="A297" s="99" t="s">
        <v>4707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5</v>
      </c>
      <c r="H297" s="99">
        <f t="shared" si="15"/>
        <v>0</v>
      </c>
      <c r="I297" s="99">
        <f t="shared" ref="I297:I312" si="24">B297*(G297-H297)</f>
        <v>-302300</v>
      </c>
      <c r="J297" s="99">
        <f t="shared" ref="J297:J312" si="25">C297*(G297-H297)</f>
        <v>0</v>
      </c>
      <c r="K297" s="99">
        <f t="shared" ref="K297:K312" si="26">D297*(G297-H297)</f>
        <v>-302300</v>
      </c>
    </row>
    <row r="298" spans="1:13">
      <c r="A298" s="99" t="s">
        <v>4713</v>
      </c>
      <c r="B298" s="18">
        <v>-60000</v>
      </c>
      <c r="C298" s="18">
        <v>0</v>
      </c>
      <c r="D298" s="18">
        <f t="shared" si="18"/>
        <v>-60000</v>
      </c>
      <c r="E298" s="99" t="s">
        <v>3771</v>
      </c>
      <c r="F298" s="99">
        <v>0</v>
      </c>
      <c r="G298" s="36">
        <f t="shared" ref="G298:G312" si="27">G299+F298</f>
        <v>4</v>
      </c>
      <c r="H298" s="99">
        <f t="shared" si="15"/>
        <v>0</v>
      </c>
      <c r="I298" s="99">
        <f t="shared" si="24"/>
        <v>-240000</v>
      </c>
      <c r="J298" s="99">
        <f t="shared" si="25"/>
        <v>0</v>
      </c>
      <c r="K298" s="99">
        <f t="shared" si="26"/>
        <v>-240000</v>
      </c>
    </row>
    <row r="299" spans="1:13">
      <c r="A299" s="99" t="s">
        <v>4713</v>
      </c>
      <c r="B299" s="18">
        <v>2400000</v>
      </c>
      <c r="C299" s="18">
        <v>0</v>
      </c>
      <c r="D299" s="18">
        <f t="shared" si="18"/>
        <v>2400000</v>
      </c>
      <c r="E299" s="99" t="s">
        <v>3892</v>
      </c>
      <c r="F299" s="99">
        <v>0</v>
      </c>
      <c r="G299" s="36">
        <f t="shared" si="27"/>
        <v>4</v>
      </c>
      <c r="H299" s="99">
        <f t="shared" si="15"/>
        <v>1</v>
      </c>
      <c r="I299" s="99">
        <f t="shared" si="24"/>
        <v>7200000</v>
      </c>
      <c r="J299" s="99">
        <f t="shared" si="25"/>
        <v>0</v>
      </c>
      <c r="K299" s="99">
        <f t="shared" si="26"/>
        <v>7200000</v>
      </c>
    </row>
    <row r="300" spans="1:13">
      <c r="A300" s="99" t="s">
        <v>4713</v>
      </c>
      <c r="B300" s="18">
        <v>-137163</v>
      </c>
      <c r="C300" s="18">
        <v>0</v>
      </c>
      <c r="D300" s="18">
        <f t="shared" si="18"/>
        <v>-137163</v>
      </c>
      <c r="E300" s="99" t="s">
        <v>4015</v>
      </c>
      <c r="F300" s="99">
        <v>0</v>
      </c>
      <c r="G300" s="36">
        <f t="shared" si="27"/>
        <v>4</v>
      </c>
      <c r="H300" s="99">
        <f t="shared" si="15"/>
        <v>0</v>
      </c>
      <c r="I300" s="99">
        <f t="shared" si="24"/>
        <v>-548652</v>
      </c>
      <c r="J300" s="99">
        <f t="shared" si="25"/>
        <v>0</v>
      </c>
      <c r="K300" s="99">
        <f t="shared" si="26"/>
        <v>-548652</v>
      </c>
      <c r="L300" t="s">
        <v>25</v>
      </c>
      <c r="M300" t="s">
        <v>25</v>
      </c>
    </row>
    <row r="301" spans="1:13">
      <c r="A301" s="99" t="s">
        <v>4713</v>
      </c>
      <c r="B301" s="18">
        <v>-51400</v>
      </c>
      <c r="C301" s="18">
        <v>0</v>
      </c>
      <c r="D301" s="18">
        <f t="shared" si="18"/>
        <v>-51400</v>
      </c>
      <c r="E301" s="99" t="s">
        <v>4720</v>
      </c>
      <c r="F301" s="99">
        <v>1</v>
      </c>
      <c r="G301" s="36">
        <f t="shared" si="27"/>
        <v>4</v>
      </c>
      <c r="H301" s="99">
        <f t="shared" si="15"/>
        <v>0</v>
      </c>
      <c r="I301" s="99">
        <f t="shared" si="24"/>
        <v>-205600</v>
      </c>
      <c r="J301" s="99">
        <f t="shared" si="25"/>
        <v>0</v>
      </c>
      <c r="K301" s="99">
        <f t="shared" si="26"/>
        <v>-205600</v>
      </c>
    </row>
    <row r="302" spans="1:13">
      <c r="A302" s="99" t="s">
        <v>4723</v>
      </c>
      <c r="B302" s="18">
        <v>-2250000</v>
      </c>
      <c r="C302" s="18">
        <v>0</v>
      </c>
      <c r="D302" s="18">
        <f t="shared" si="18"/>
        <v>-2250000</v>
      </c>
      <c r="E302" s="99" t="s">
        <v>3771</v>
      </c>
      <c r="F302" s="99">
        <v>0</v>
      </c>
      <c r="G302" s="36">
        <f t="shared" si="27"/>
        <v>3</v>
      </c>
      <c r="H302" s="99">
        <f t="shared" si="15"/>
        <v>0</v>
      </c>
      <c r="I302" s="99">
        <f t="shared" si="24"/>
        <v>-6750000</v>
      </c>
      <c r="J302" s="99">
        <f t="shared" si="25"/>
        <v>0</v>
      </c>
      <c r="K302" s="99">
        <f t="shared" si="26"/>
        <v>-6750000</v>
      </c>
      <c r="M302" t="s">
        <v>25</v>
      </c>
    </row>
    <row r="303" spans="1:13">
      <c r="A303" s="99" t="s">
        <v>4723</v>
      </c>
      <c r="B303" s="18">
        <v>700000</v>
      </c>
      <c r="C303" s="18">
        <v>0</v>
      </c>
      <c r="D303" s="18">
        <f t="shared" si="18"/>
        <v>700000</v>
      </c>
      <c r="E303" s="99" t="s">
        <v>3892</v>
      </c>
      <c r="F303" s="99">
        <v>2</v>
      </c>
      <c r="G303" s="36">
        <f t="shared" si="27"/>
        <v>3</v>
      </c>
      <c r="H303" s="99">
        <f t="shared" si="15"/>
        <v>1</v>
      </c>
      <c r="I303" s="99">
        <f t="shared" si="24"/>
        <v>1400000</v>
      </c>
      <c r="J303" s="99">
        <f t="shared" si="25"/>
        <v>0</v>
      </c>
      <c r="K303" s="99">
        <f t="shared" si="26"/>
        <v>1400000</v>
      </c>
    </row>
    <row r="304" spans="1:13">
      <c r="A304" s="99" t="s">
        <v>4762</v>
      </c>
      <c r="B304" s="18">
        <v>570000</v>
      </c>
      <c r="C304" s="18">
        <v>0</v>
      </c>
      <c r="D304" s="18">
        <f t="shared" si="18"/>
        <v>570000</v>
      </c>
      <c r="E304" s="99" t="s">
        <v>3892</v>
      </c>
      <c r="F304" s="99">
        <v>1</v>
      </c>
      <c r="G304" s="36">
        <f t="shared" si="27"/>
        <v>1</v>
      </c>
      <c r="H304" s="99">
        <f t="shared" si="15"/>
        <v>1</v>
      </c>
      <c r="I304" s="99">
        <f t="shared" si="24"/>
        <v>0</v>
      </c>
      <c r="J304" s="99">
        <f t="shared" si="25"/>
        <v>0</v>
      </c>
      <c r="K304" s="99">
        <f t="shared" si="26"/>
        <v>0</v>
      </c>
    </row>
    <row r="305" spans="1:13">
      <c r="A305" s="99"/>
      <c r="B305" s="18"/>
      <c r="C305" s="18"/>
      <c r="D305" s="18"/>
      <c r="E305" s="99"/>
      <c r="F305" s="99"/>
      <c r="G305" s="36">
        <f t="shared" si="27"/>
        <v>0</v>
      </c>
      <c r="H305" s="99">
        <f t="shared" si="15"/>
        <v>0</v>
      </c>
      <c r="I305" s="99">
        <f t="shared" si="24"/>
        <v>0</v>
      </c>
      <c r="J305" s="99">
        <f t="shared" si="25"/>
        <v>0</v>
      </c>
      <c r="K305" s="99">
        <f t="shared" si="26"/>
        <v>0</v>
      </c>
    </row>
    <row r="306" spans="1:13">
      <c r="A306" s="99"/>
      <c r="B306" s="18"/>
      <c r="C306" s="18"/>
      <c r="D306" s="18"/>
      <c r="E306" s="99"/>
      <c r="F306" s="99"/>
      <c r="G306" s="36">
        <f t="shared" si="27"/>
        <v>0</v>
      </c>
      <c r="H306" s="99">
        <f t="shared" si="15"/>
        <v>0</v>
      </c>
      <c r="I306" s="99">
        <f t="shared" si="24"/>
        <v>0</v>
      </c>
      <c r="J306" s="99">
        <f t="shared" si="25"/>
        <v>0</v>
      </c>
      <c r="K306" s="99">
        <f t="shared" si="26"/>
        <v>0</v>
      </c>
      <c r="M306" t="s">
        <v>25</v>
      </c>
    </row>
    <row r="307" spans="1:13">
      <c r="A307" s="99"/>
      <c r="B307" s="18"/>
      <c r="C307" s="18"/>
      <c r="D307" s="18"/>
      <c r="E307" s="99"/>
      <c r="F307" s="99"/>
      <c r="G307" s="36">
        <f t="shared" si="27"/>
        <v>0</v>
      </c>
      <c r="H307" s="99">
        <f t="shared" si="15"/>
        <v>0</v>
      </c>
      <c r="I307" s="99">
        <f t="shared" si="24"/>
        <v>0</v>
      </c>
      <c r="J307" s="99">
        <f t="shared" si="25"/>
        <v>0</v>
      </c>
      <c r="K307" s="99">
        <f t="shared" si="26"/>
        <v>0</v>
      </c>
    </row>
    <row r="308" spans="1:13">
      <c r="A308" s="99"/>
      <c r="B308" s="18"/>
      <c r="C308" s="18"/>
      <c r="D308" s="18"/>
      <c r="E308" s="99"/>
      <c r="F308" s="99"/>
      <c r="G308" s="36">
        <f t="shared" si="27"/>
        <v>0</v>
      </c>
      <c r="H308" s="99">
        <f t="shared" si="15"/>
        <v>0</v>
      </c>
      <c r="I308" s="99">
        <f t="shared" si="24"/>
        <v>0</v>
      </c>
      <c r="J308" s="99">
        <f t="shared" si="25"/>
        <v>0</v>
      </c>
      <c r="K308" s="99">
        <f t="shared" si="26"/>
        <v>0</v>
      </c>
    </row>
    <row r="309" spans="1:13">
      <c r="A309" s="99"/>
      <c r="B309" s="18"/>
      <c r="C309" s="18"/>
      <c r="D309" s="18"/>
      <c r="E309" s="99"/>
      <c r="F309" s="99"/>
      <c r="G309" s="36">
        <f t="shared" si="27"/>
        <v>0</v>
      </c>
      <c r="H309" s="99">
        <f t="shared" si="15"/>
        <v>0</v>
      </c>
      <c r="I309" s="99">
        <f t="shared" si="24"/>
        <v>0</v>
      </c>
      <c r="J309" s="99">
        <f t="shared" si="25"/>
        <v>0</v>
      </c>
      <c r="K309" s="99">
        <f t="shared" si="26"/>
        <v>0</v>
      </c>
    </row>
    <row r="310" spans="1:13">
      <c r="A310" s="99"/>
      <c r="B310" s="18"/>
      <c r="C310" s="18"/>
      <c r="D310" s="18"/>
      <c r="E310" s="99"/>
      <c r="F310" s="99"/>
      <c r="G310" s="36">
        <f t="shared" si="27"/>
        <v>0</v>
      </c>
      <c r="H310" s="99">
        <f t="shared" si="15"/>
        <v>0</v>
      </c>
      <c r="I310" s="99">
        <f t="shared" si="24"/>
        <v>0</v>
      </c>
      <c r="J310" s="99">
        <f t="shared" si="25"/>
        <v>0</v>
      </c>
      <c r="K310" s="99">
        <f t="shared" si="26"/>
        <v>0</v>
      </c>
    </row>
    <row r="311" spans="1:13">
      <c r="A311" s="99"/>
      <c r="B311" s="18"/>
      <c r="C311" s="18"/>
      <c r="D311" s="18"/>
      <c r="E311" s="99"/>
      <c r="F311" s="99"/>
      <c r="G311" s="36">
        <f t="shared" si="27"/>
        <v>0</v>
      </c>
      <c r="H311" s="99">
        <f t="shared" si="15"/>
        <v>0</v>
      </c>
      <c r="I311" s="99">
        <f t="shared" si="24"/>
        <v>0</v>
      </c>
      <c r="J311" s="99">
        <f t="shared" si="25"/>
        <v>0</v>
      </c>
      <c r="K311" s="99">
        <f t="shared" si="26"/>
        <v>0</v>
      </c>
    </row>
    <row r="312" spans="1:13">
      <c r="A312" s="99"/>
      <c r="B312" s="18"/>
      <c r="C312" s="18"/>
      <c r="D312" s="18"/>
      <c r="E312" s="99"/>
      <c r="F312" s="99"/>
      <c r="G312" s="36">
        <f t="shared" si="27"/>
        <v>0</v>
      </c>
      <c r="H312" s="99">
        <f t="shared" si="15"/>
        <v>0</v>
      </c>
      <c r="I312" s="99">
        <f t="shared" si="24"/>
        <v>0</v>
      </c>
      <c r="J312" s="99">
        <f t="shared" si="25"/>
        <v>0</v>
      </c>
      <c r="K312" s="99">
        <f t="shared" si="26"/>
        <v>0</v>
      </c>
    </row>
    <row r="313" spans="1:13">
      <c r="A313" s="11"/>
      <c r="B313" s="18"/>
      <c r="C313" s="18"/>
      <c r="D313" s="18">
        <f t="shared" si="18"/>
        <v>0</v>
      </c>
      <c r="E313" s="11"/>
      <c r="F313" s="11">
        <v>0</v>
      </c>
      <c r="G313" s="36">
        <f t="shared" si="19"/>
        <v>0</v>
      </c>
      <c r="H313" s="99">
        <f t="shared" si="15"/>
        <v>0</v>
      </c>
      <c r="I313" s="99">
        <f t="shared" si="13"/>
        <v>0</v>
      </c>
      <c r="J313" s="99">
        <f t="shared" si="20"/>
        <v>0</v>
      </c>
      <c r="K313" s="99">
        <f t="shared" si="17"/>
        <v>0</v>
      </c>
    </row>
    <row r="314" spans="1:13">
      <c r="A314" s="11"/>
      <c r="B314" s="29">
        <f>SUM(B2:B313)</f>
        <v>1374305</v>
      </c>
      <c r="C314" s="29">
        <f>SUM(C2:C313)</f>
        <v>0</v>
      </c>
      <c r="D314" s="29">
        <f>SUM(D2:D313)</f>
        <v>1374305</v>
      </c>
      <c r="E314" s="11"/>
      <c r="F314" s="11"/>
      <c r="G314" s="11"/>
      <c r="H314" s="11"/>
      <c r="I314" s="29">
        <f>SUM(I2:I313)</f>
        <v>19172839959</v>
      </c>
      <c r="J314" s="29">
        <f>SUM(J2:J313)</f>
        <v>8687685429</v>
      </c>
      <c r="K314" s="29">
        <f>SUM(K2:K313)</f>
        <v>10485154530</v>
      </c>
    </row>
    <row r="315" spans="1:13">
      <c r="A315" s="11"/>
      <c r="B315" s="11" t="s">
        <v>283</v>
      </c>
      <c r="C315" s="11" t="s">
        <v>488</v>
      </c>
      <c r="D315" s="11" t="s">
        <v>489</v>
      </c>
      <c r="E315" s="11"/>
      <c r="F315" s="11"/>
      <c r="G315" s="11"/>
      <c r="H315" s="11"/>
      <c r="I315" s="11" t="s">
        <v>485</v>
      </c>
      <c r="J315" s="11" t="s">
        <v>486</v>
      </c>
      <c r="K315" s="11" t="s">
        <v>487</v>
      </c>
    </row>
    <row r="316" spans="1:1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3">
      <c r="A317" s="11"/>
      <c r="B317" s="11"/>
      <c r="C317" s="11"/>
      <c r="D317" s="11"/>
      <c r="E317" s="11"/>
      <c r="F317" s="11"/>
      <c r="G317" s="11"/>
      <c r="H317" s="11"/>
      <c r="I317" s="3">
        <f>I314/G2</f>
        <v>18686978.51754386</v>
      </c>
      <c r="J317" s="29">
        <f>J314/G2</f>
        <v>8467529.6578947362</v>
      </c>
      <c r="K317" s="29">
        <f>K314/G2</f>
        <v>10219448.859649124</v>
      </c>
    </row>
    <row r="318" spans="1:13">
      <c r="A318" s="11"/>
      <c r="B318" s="11"/>
      <c r="C318" s="11"/>
      <c r="D318" s="11"/>
      <c r="E318" s="11"/>
      <c r="F318" s="11"/>
      <c r="G318" s="11"/>
      <c r="H318" s="11"/>
      <c r="I318" s="11" t="s">
        <v>491</v>
      </c>
      <c r="J318" s="11" t="s">
        <v>492</v>
      </c>
      <c r="K318" s="11" t="s">
        <v>493</v>
      </c>
    </row>
    <row r="321" spans="2:11" ht="30">
      <c r="B321" s="22" t="s">
        <v>854</v>
      </c>
      <c r="D321" s="98">
        <f>D314-D151+D152</f>
        <v>2570944</v>
      </c>
      <c r="G321" t="s">
        <v>25</v>
      </c>
      <c r="J321">
        <f>J314/I314*1448696</f>
        <v>656439.79489551962</v>
      </c>
      <c r="K321">
        <f>K314/I314*1448696</f>
        <v>792256.20510448038</v>
      </c>
    </row>
    <row r="322" spans="2:11">
      <c r="B322" s="7"/>
    </row>
    <row r="323" spans="2:11">
      <c r="B323" s="7"/>
      <c r="I323" t="s">
        <v>25</v>
      </c>
    </row>
    <row r="324" spans="2:11">
      <c r="I324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4592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4538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4538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4538</v>
      </c>
      <c r="B30" s="18">
        <v>-389000</v>
      </c>
      <c r="C30" s="18">
        <v>0</v>
      </c>
      <c r="D30" s="113">
        <f t="shared" si="0"/>
        <v>-389000</v>
      </c>
      <c r="E30" s="19" t="s">
        <v>4540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4570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4570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4573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4573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4578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4582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4582</v>
      </c>
      <c r="B11" s="18">
        <v>-1287000</v>
      </c>
      <c r="C11" s="18">
        <v>0</v>
      </c>
      <c r="D11" s="113">
        <f t="shared" si="0"/>
        <v>-1287000</v>
      </c>
      <c r="E11" s="19" t="s">
        <v>4583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4578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4579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4592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4599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4601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4603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4614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4618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4620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4631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4628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4634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4644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4650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4650</v>
      </c>
      <c r="B29" s="18">
        <v>-77315</v>
      </c>
      <c r="C29" s="18">
        <v>0</v>
      </c>
      <c r="D29" s="113">
        <f t="shared" si="0"/>
        <v>-77315</v>
      </c>
      <c r="E29" s="19" t="s">
        <v>4656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4658</v>
      </c>
      <c r="B30" s="18">
        <v>-66850</v>
      </c>
      <c r="C30" s="18">
        <v>0</v>
      </c>
      <c r="D30" s="113">
        <f t="shared" si="0"/>
        <v>-66850</v>
      </c>
      <c r="E30" s="19" t="s">
        <v>4669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4658</v>
      </c>
      <c r="B31" s="169">
        <v>-30000</v>
      </c>
      <c r="C31" s="169">
        <v>0</v>
      </c>
      <c r="D31" s="169">
        <f t="shared" ref="D31" si="4">B31-C31</f>
        <v>-30000</v>
      </c>
      <c r="E31" s="169" t="s">
        <v>4668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4632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4645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4657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3648374.7909967843</v>
      </c>
      <c r="C8" s="99">
        <f>B2*B4*B5/(B1*B3)+B7/B6</f>
        <v>304.03123258306533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4200000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551625.20900321566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22" t="s">
        <v>1089</v>
      </c>
      <c r="R21" s="222"/>
      <c r="S21" s="222"/>
      <c r="T21" s="222"/>
      <c r="U21" s="96"/>
      <c r="V21" s="96"/>
      <c r="W21" s="96"/>
      <c r="X21" s="96"/>
      <c r="Y21" s="96"/>
      <c r="Z21" s="96"/>
    </row>
    <row r="22" spans="5:35">
      <c r="O22" s="99"/>
      <c r="P22" s="99"/>
      <c r="Q22" s="222"/>
      <c r="R22" s="222"/>
      <c r="S22" s="222"/>
      <c r="T22" s="22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23" t="s">
        <v>1090</v>
      </c>
      <c r="R23" s="224" t="s">
        <v>1091</v>
      </c>
      <c r="S23" s="223" t="s">
        <v>1092</v>
      </c>
      <c r="T23" s="225" t="s">
        <v>1093</v>
      </c>
      <c r="AD23" t="s">
        <v>25</v>
      </c>
    </row>
    <row r="24" spans="5:35">
      <c r="O24" s="99"/>
      <c r="P24" s="99"/>
      <c r="Q24" s="223"/>
      <c r="R24" s="224"/>
      <c r="S24" s="223"/>
      <c r="T24" s="225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4249</v>
      </c>
    </row>
    <row r="260" spans="1:11">
      <c r="A260" s="99" t="s">
        <v>4592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3892</v>
      </c>
    </row>
    <row r="262" spans="1:11">
      <c r="A262" s="99" t="s">
        <v>4611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3965</v>
      </c>
      <c r="K262" t="s">
        <v>25</v>
      </c>
    </row>
    <row r="263" spans="1:11">
      <c r="A263" s="99" t="s">
        <v>4612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4613</v>
      </c>
      <c r="J263" t="s">
        <v>25</v>
      </c>
      <c r="K263" t="s">
        <v>25</v>
      </c>
    </row>
    <row r="264" spans="1:11">
      <c r="A264" s="99" t="s">
        <v>4606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4642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4641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4628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4644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4650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4650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4674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4557</v>
      </c>
      <c r="B1" t="s">
        <v>4560</v>
      </c>
      <c r="C1" t="s">
        <v>4561</v>
      </c>
    </row>
    <row r="2" spans="1:3">
      <c r="A2" t="s">
        <v>4558</v>
      </c>
      <c r="B2" t="s">
        <v>4562</v>
      </c>
      <c r="C2" t="s">
        <v>4563</v>
      </c>
    </row>
    <row r="3" spans="1:3">
      <c r="A3" t="s">
        <v>4559</v>
      </c>
      <c r="B3" t="s">
        <v>4561</v>
      </c>
      <c r="C3" t="s">
        <v>4564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4592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4"/>
  <sheetViews>
    <sheetView tabSelected="1" topLeftCell="E82" zoomScaleNormal="100" workbookViewId="0">
      <selection activeCell="T116" sqref="T11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56737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سارا!D314</f>
        <v>1374305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3128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S58</f>
        <v>125</v>
      </c>
      <c r="T20" s="169" t="s">
        <v>4310</v>
      </c>
      <c r="U20" s="169">
        <v>192.1</v>
      </c>
      <c r="V20" s="169">
        <f t="shared" ref="V20:V34" si="6">U20*(1+$N$90+$Q$15*S20/36500)</f>
        <v>212.67206794520547</v>
      </c>
      <c r="W20" s="32">
        <f t="shared" ref="W20:W34" si="7">V20*(1+$W$19/100)</f>
        <v>216.9255093041096</v>
      </c>
      <c r="X20" s="32">
        <f t="shared" ref="X20:X34" si="8">V20*(1+$X$19/100)</f>
        <v>221.17895066301369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299</v>
      </c>
      <c r="AM20" s="113">
        <f>AJ20*AL20</f>
        <v>5382000000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-N32</f>
        <v>182945176.30259952</v>
      </c>
      <c r="M21" s="169" t="s">
        <v>4302</v>
      </c>
      <c r="N21" s="113">
        <f>O21*P21</f>
        <v>12511076.300000001</v>
      </c>
      <c r="O21" s="99">
        <v>73207</v>
      </c>
      <c r="P21" s="188">
        <f>P58</f>
        <v>170.9</v>
      </c>
      <c r="Q21" s="170">
        <v>1450345</v>
      </c>
      <c r="R21" s="169" t="s">
        <v>4306</v>
      </c>
      <c r="S21" s="194">
        <f>S20-35</f>
        <v>90</v>
      </c>
      <c r="T21" s="169" t="s">
        <v>4311</v>
      </c>
      <c r="U21" s="169">
        <v>313.7</v>
      </c>
      <c r="V21" s="169">
        <f t="shared" si="6"/>
        <v>338.87163178082199</v>
      </c>
      <c r="W21" s="32">
        <f t="shared" si="7"/>
        <v>345.64906441643842</v>
      </c>
      <c r="X21" s="32">
        <f t="shared" si="8"/>
        <v>352.42649705205486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298</v>
      </c>
      <c r="AM21" s="113">
        <f t="shared" ref="AM21:AM139" si="10">AJ21*AL21</f>
        <v>745000000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-'بهمن 97'!D57</f>
        <v>-1704066</v>
      </c>
      <c r="M22" s="169" t="s">
        <v>4314</v>
      </c>
      <c r="N22" s="113">
        <f>O22*P22</f>
        <v>8280412</v>
      </c>
      <c r="O22" s="99">
        <v>28504</v>
      </c>
      <c r="P22" s="188">
        <f>P55</f>
        <v>290.5</v>
      </c>
      <c r="Q22" s="170">
        <v>400069</v>
      </c>
      <c r="R22" s="169" t="s">
        <v>4312</v>
      </c>
      <c r="S22" s="194">
        <f>S21-1</f>
        <v>89</v>
      </c>
      <c r="T22" s="169" t="s">
        <v>4313</v>
      </c>
      <c r="U22" s="169">
        <v>314.8</v>
      </c>
      <c r="V22" s="169">
        <f t="shared" si="6"/>
        <v>339.81840657534252</v>
      </c>
      <c r="W22" s="32">
        <f t="shared" si="7"/>
        <v>346.6147747068494</v>
      </c>
      <c r="X22" s="32">
        <f t="shared" si="8"/>
        <v>353.41114283835623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9"/>
        <v>297</v>
      </c>
      <c r="AM22" s="113">
        <f t="shared" si="10"/>
        <v>2376000000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/>
      <c r="L23" s="117"/>
      <c r="M23" s="169" t="s">
        <v>4696</v>
      </c>
      <c r="N23" s="113">
        <f>O23*P23</f>
        <v>326077.39999999997</v>
      </c>
      <c r="O23" s="99">
        <v>1439</v>
      </c>
      <c r="P23" s="188">
        <f>P53</f>
        <v>226.6</v>
      </c>
      <c r="Q23" s="170">
        <v>7118256</v>
      </c>
      <c r="R23" s="169" t="s">
        <v>4312</v>
      </c>
      <c r="S23" s="194">
        <f>S22</f>
        <v>89</v>
      </c>
      <c r="T23" s="169" t="s">
        <v>4542</v>
      </c>
      <c r="U23" s="169">
        <v>313</v>
      </c>
      <c r="V23" s="169">
        <f t="shared" si="6"/>
        <v>337.87535342465753</v>
      </c>
      <c r="W23" s="32">
        <f t="shared" si="7"/>
        <v>344.6328604931507</v>
      </c>
      <c r="X23" s="32">
        <f t="shared" si="8"/>
        <v>351.39036756164387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9"/>
        <v>296</v>
      </c>
      <c r="AM23" s="113">
        <f t="shared" si="10"/>
        <v>-23547392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L70</f>
        <v>360820750.30259955</v>
      </c>
      <c r="G24" s="95">
        <f t="shared" si="0"/>
        <v>-80514404.920660913</v>
      </c>
      <c r="H24" s="11"/>
      <c r="I24" s="96"/>
      <c r="J24" s="96"/>
      <c r="K24" s="169" t="s">
        <v>456</v>
      </c>
      <c r="L24" s="117">
        <v>500000</v>
      </c>
      <c r="M24" s="169" t="s">
        <v>4401</v>
      </c>
      <c r="N24" s="113">
        <f>O24*P24</f>
        <v>4217914.8000000007</v>
      </c>
      <c r="O24" s="99">
        <v>828</v>
      </c>
      <c r="P24" s="99">
        <f>P45</f>
        <v>5094.1000000000004</v>
      </c>
      <c r="Q24" s="170">
        <v>595156</v>
      </c>
      <c r="R24" s="169" t="s">
        <v>4399</v>
      </c>
      <c r="S24" s="195">
        <f>S23-16</f>
        <v>73</v>
      </c>
      <c r="T24" s="169" t="s">
        <v>4402</v>
      </c>
      <c r="U24" s="169">
        <v>5808.5</v>
      </c>
      <c r="V24" s="169">
        <f t="shared" si="6"/>
        <v>6198.8312000000005</v>
      </c>
      <c r="W24" s="32">
        <f t="shared" si="7"/>
        <v>6322.8078240000004</v>
      </c>
      <c r="X24" s="32">
        <f t="shared" si="8"/>
        <v>6446.7844480000003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9"/>
        <v>295</v>
      </c>
      <c r="AM24" s="113">
        <f t="shared" si="10"/>
        <v>48822500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4437</v>
      </c>
      <c r="S25" s="169">
        <f>S24-7</f>
        <v>66</v>
      </c>
      <c r="T25" s="19" t="s">
        <v>4440</v>
      </c>
      <c r="U25" s="169">
        <v>5474</v>
      </c>
      <c r="V25" s="169">
        <f t="shared" si="6"/>
        <v>5812.4581698630145</v>
      </c>
      <c r="W25" s="32">
        <f t="shared" si="7"/>
        <v>5928.7073332602749</v>
      </c>
      <c r="X25" s="32">
        <f t="shared" si="8"/>
        <v>6044.9564966575354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9"/>
        <v>283</v>
      </c>
      <c r="AM25" s="113">
        <f t="shared" si="10"/>
        <v>-8158982541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9"/>
      <c r="L26" s="117"/>
      <c r="M26" s="192" t="s">
        <v>4467</v>
      </c>
      <c r="N26" s="113">
        <v>3128</v>
      </c>
      <c r="O26" s="69" t="s">
        <v>25</v>
      </c>
      <c r="P26" s="99"/>
      <c r="Q26" s="170">
        <v>2197673</v>
      </c>
      <c r="R26" s="169" t="s">
        <v>4437</v>
      </c>
      <c r="S26" s="169">
        <f>S25</f>
        <v>66</v>
      </c>
      <c r="T26" s="19" t="s">
        <v>4441</v>
      </c>
      <c r="U26" s="169">
        <v>5349</v>
      </c>
      <c r="V26" s="169">
        <f t="shared" si="6"/>
        <v>5679.7294027397265</v>
      </c>
      <c r="W26" s="32">
        <f>V26*(1+$W$19/100)</f>
        <v>5793.3239907945208</v>
      </c>
      <c r="X26" s="32">
        <f t="shared" si="8"/>
        <v>5906.918578849316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9"/>
        <v>277</v>
      </c>
      <c r="AM26" s="113">
        <f t="shared" si="10"/>
        <v>5124500000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9"/>
      <c r="L27" s="117"/>
      <c r="M27" s="192" t="s">
        <v>4401</v>
      </c>
      <c r="N27" s="113">
        <f>O27*P27</f>
        <v>239422.7</v>
      </c>
      <c r="O27" s="69">
        <v>47</v>
      </c>
      <c r="P27" s="99">
        <f>P45</f>
        <v>5094.1000000000004</v>
      </c>
      <c r="Q27" s="170">
        <v>1353959</v>
      </c>
      <c r="R27" s="169" t="s">
        <v>4437</v>
      </c>
      <c r="S27" s="202">
        <f>S26</f>
        <v>66</v>
      </c>
      <c r="T27" s="19" t="s">
        <v>4483</v>
      </c>
      <c r="U27" s="169">
        <v>192.2</v>
      </c>
      <c r="V27" s="169">
        <f t="shared" si="6"/>
        <v>204.08375232876713</v>
      </c>
      <c r="W27" s="32">
        <f t="shared" si="7"/>
        <v>208.16542737534249</v>
      </c>
      <c r="X27" s="32">
        <f t="shared" si="8"/>
        <v>212.24710242191782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9"/>
        <v>276</v>
      </c>
      <c r="AM27" s="113">
        <f t="shared" si="10"/>
        <v>-5119800000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9"/>
      <c r="L28" s="117"/>
      <c r="M28" s="192" t="s">
        <v>4696</v>
      </c>
      <c r="N28" s="113">
        <f>O28*P28</f>
        <v>326077.39999999997</v>
      </c>
      <c r="O28" s="69">
        <v>1439</v>
      </c>
      <c r="P28" s="99">
        <f>P53</f>
        <v>226.6</v>
      </c>
      <c r="Q28" s="170">
        <v>1614398</v>
      </c>
      <c r="R28" s="169" t="s">
        <v>4445</v>
      </c>
      <c r="S28" s="169">
        <f>S27-3</f>
        <v>63</v>
      </c>
      <c r="T28" s="19" t="s">
        <v>4521</v>
      </c>
      <c r="U28" s="169">
        <v>184.6</v>
      </c>
      <c r="V28" s="169">
        <f t="shared" si="6"/>
        <v>195.58901041095893</v>
      </c>
      <c r="W28" s="32">
        <f t="shared" si="7"/>
        <v>199.5007906191781</v>
      </c>
      <c r="X28" s="32">
        <f t="shared" si="8"/>
        <v>203.4125708273973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9"/>
        <v>275</v>
      </c>
      <c r="AM28" s="113">
        <f t="shared" si="10"/>
        <v>-17864275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9"/>
      <c r="L29" s="117"/>
      <c r="M29" s="192" t="s">
        <v>4446</v>
      </c>
      <c r="N29" s="113">
        <f>O29*P29</f>
        <v>2962551.5</v>
      </c>
      <c r="O29" s="69">
        <v>17335</v>
      </c>
      <c r="P29" s="99">
        <f>P58</f>
        <v>170.9</v>
      </c>
      <c r="Q29" s="170">
        <v>133576</v>
      </c>
      <c r="R29" s="169" t="s">
        <v>4528</v>
      </c>
      <c r="S29" s="201">
        <f>S28-22</f>
        <v>41</v>
      </c>
      <c r="T29" s="169" t="s">
        <v>4529</v>
      </c>
      <c r="U29" s="169">
        <v>166.2</v>
      </c>
      <c r="V29" s="169">
        <f t="shared" si="6"/>
        <v>173.28877150684932</v>
      </c>
      <c r="W29" s="32">
        <f t="shared" si="7"/>
        <v>176.75454693698632</v>
      </c>
      <c r="X29" s="32">
        <f t="shared" si="8"/>
        <v>180.22032236712329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9"/>
        <v>270</v>
      </c>
      <c r="AM29" s="113">
        <f t="shared" si="10"/>
        <v>1728000000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9" t="s">
        <v>25</v>
      </c>
      <c r="L30" s="117"/>
      <c r="M30" s="169"/>
      <c r="N30" s="113"/>
      <c r="P30" t="s">
        <v>25</v>
      </c>
      <c r="Q30" s="170">
        <v>220803</v>
      </c>
      <c r="R30" s="169" t="s">
        <v>4232</v>
      </c>
      <c r="S30" s="201">
        <f>S29-1</f>
        <v>40</v>
      </c>
      <c r="T30" s="169" t="s">
        <v>4535</v>
      </c>
      <c r="U30" s="169">
        <v>166</v>
      </c>
      <c r="V30" s="169">
        <f t="shared" si="6"/>
        <v>172.95289863013701</v>
      </c>
      <c r="W30" s="32">
        <f t="shared" si="7"/>
        <v>176.41195660273976</v>
      </c>
      <c r="X30" s="32">
        <f t="shared" si="8"/>
        <v>179.87101457534251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9"/>
        <v>269</v>
      </c>
      <c r="AM30" s="113">
        <f t="shared" si="10"/>
        <v>-45730000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9" t="s">
        <v>25</v>
      </c>
      <c r="L31" s="117"/>
      <c r="M31" s="169" t="s">
        <v>756</v>
      </c>
      <c r="N31" s="113">
        <v>3000000</v>
      </c>
      <c r="O31" t="s">
        <v>25</v>
      </c>
      <c r="P31" t="s">
        <v>25</v>
      </c>
      <c r="Q31" s="170">
        <v>1023940</v>
      </c>
      <c r="R31" s="169" t="s">
        <v>4536</v>
      </c>
      <c r="S31" s="201">
        <f>S30-2</f>
        <v>38</v>
      </c>
      <c r="T31" s="169" t="s">
        <v>4543</v>
      </c>
      <c r="U31" s="169">
        <v>160.19999999999999</v>
      </c>
      <c r="V31" s="169">
        <f t="shared" si="6"/>
        <v>166.66417972602741</v>
      </c>
      <c r="W31" s="32">
        <f t="shared" si="7"/>
        <v>169.99746332054795</v>
      </c>
      <c r="X31" s="32">
        <f t="shared" si="8"/>
        <v>173.33074691506852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264</v>
      </c>
      <c r="AM31" s="113">
        <f t="shared" si="10"/>
        <v>-1663200000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9" t="s">
        <v>918</v>
      </c>
      <c r="L32" s="117">
        <v>4800000</v>
      </c>
      <c r="M32" s="169" t="s">
        <v>4150</v>
      </c>
      <c r="N32" s="113">
        <f>-S129</f>
        <v>-182945176.30259952</v>
      </c>
      <c r="O32" s="96" t="s">
        <v>25</v>
      </c>
      <c r="P32" s="96" t="s">
        <v>25</v>
      </c>
      <c r="Q32" s="170">
        <v>168846</v>
      </c>
      <c r="R32" s="169" t="s">
        <v>3692</v>
      </c>
      <c r="S32" s="201">
        <f>S31-28</f>
        <v>10</v>
      </c>
      <c r="T32" s="169" t="s">
        <v>4647</v>
      </c>
      <c r="U32" s="169">
        <v>172.2</v>
      </c>
      <c r="V32" s="169">
        <f t="shared" si="6"/>
        <v>175.44962630136988</v>
      </c>
      <c r="W32" s="32">
        <f t="shared" si="7"/>
        <v>178.95861882739729</v>
      </c>
      <c r="X32" s="32">
        <f t="shared" si="8"/>
        <v>182.46761135342467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9"/>
        <v>263</v>
      </c>
      <c r="AM32" s="113">
        <f t="shared" si="10"/>
        <v>-13679945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9"/>
      <c r="L33" s="117"/>
      <c r="M33" s="169" t="s">
        <v>753</v>
      </c>
      <c r="N33" s="113">
        <v>500000</v>
      </c>
      <c r="O33" s="96"/>
      <c r="P33" s="96"/>
      <c r="Q33" s="170">
        <v>296363</v>
      </c>
      <c r="R33" s="169" t="s">
        <v>4691</v>
      </c>
      <c r="S33" s="201">
        <f>S32-7</f>
        <v>3</v>
      </c>
      <c r="T33" s="169" t="s">
        <v>4695</v>
      </c>
      <c r="U33" s="169">
        <v>205</v>
      </c>
      <c r="V33" s="169">
        <f t="shared" si="6"/>
        <v>207.76778082191782</v>
      </c>
      <c r="W33" s="32">
        <f t="shared" si="7"/>
        <v>211.92313643835618</v>
      </c>
      <c r="X33" s="32">
        <f t="shared" si="8"/>
        <v>216.07849205479454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9"/>
        <v>247</v>
      </c>
      <c r="AM33" s="113">
        <f t="shared" si="10"/>
        <v>4944297800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9" t="s">
        <v>1086</v>
      </c>
      <c r="L34" s="117">
        <f>61*P15</f>
        <v>219600000</v>
      </c>
      <c r="M34" s="169" t="s">
        <v>760</v>
      </c>
      <c r="N34" s="113">
        <v>1200000</v>
      </c>
      <c r="O34" t="s">
        <v>25</v>
      </c>
      <c r="P34" t="s">
        <v>25</v>
      </c>
      <c r="Q34" s="170">
        <v>250962</v>
      </c>
      <c r="R34" s="169" t="s">
        <v>4707</v>
      </c>
      <c r="S34" s="201">
        <f>S33-3</f>
        <v>0</v>
      </c>
      <c r="T34" s="169" t="s">
        <v>4708</v>
      </c>
      <c r="U34" s="169">
        <v>5315.5</v>
      </c>
      <c r="V34" s="169">
        <f t="shared" si="6"/>
        <v>5375.0336000000007</v>
      </c>
      <c r="W34" s="32">
        <f t="shared" si="7"/>
        <v>5482.5342720000008</v>
      </c>
      <c r="X34" s="32">
        <f t="shared" si="8"/>
        <v>5590.0349440000009</v>
      </c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9"/>
        <v>247</v>
      </c>
      <c r="AM34" s="113">
        <f t="shared" si="10"/>
        <v>250573102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9" t="s">
        <v>4764</v>
      </c>
      <c r="L35" s="117">
        <v>-48500000</v>
      </c>
      <c r="M35" s="73"/>
      <c r="N35" s="113"/>
      <c r="O35" s="96"/>
      <c r="P35" s="96"/>
      <c r="Q35" s="170"/>
      <c r="R35" s="169"/>
      <c r="S35" s="169"/>
      <c r="T35" s="169"/>
      <c r="U35" s="169"/>
      <c r="V35" s="169" t="s">
        <v>25</v>
      </c>
      <c r="W35" s="32"/>
      <c r="X35" s="32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9"/>
        <v>235</v>
      </c>
      <c r="AM35" s="113">
        <f t="shared" si="10"/>
        <v>84600000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9" t="s">
        <v>4325</v>
      </c>
      <c r="L36" s="117">
        <v>-2000000</v>
      </c>
      <c r="M36" s="169" t="s">
        <v>1086</v>
      </c>
      <c r="N36" s="113">
        <f>60*P15</f>
        <v>216000000</v>
      </c>
      <c r="O36" s="96"/>
      <c r="P36" s="96"/>
      <c r="Q36" s="170">
        <f>SUM(N21:N24)-SUM(Q20:Q35)</f>
        <v>-2242541.5</v>
      </c>
      <c r="R36" s="169"/>
      <c r="S36" s="169" t="s">
        <v>25</v>
      </c>
      <c r="T36" s="169"/>
      <c r="U36" s="169"/>
      <c r="V36" s="169"/>
      <c r="W36" s="32"/>
      <c r="X36" s="32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9"/>
        <v>233</v>
      </c>
      <c r="AM36" s="113">
        <f t="shared" si="10"/>
        <v>-81550000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9" t="s">
        <v>4517</v>
      </c>
      <c r="L37" s="117">
        <v>-1000000</v>
      </c>
      <c r="M37" s="169" t="s">
        <v>4763</v>
      </c>
      <c r="N37" s="113">
        <v>-18000000</v>
      </c>
      <c r="O37" s="96"/>
      <c r="P37" s="114"/>
      <c r="R37" s="115"/>
      <c r="S37" s="115" t="s">
        <v>25</v>
      </c>
      <c r="T37" s="115"/>
      <c r="U37" s="115"/>
      <c r="V37" s="115"/>
      <c r="W37" s="198"/>
      <c r="X37" s="198"/>
      <c r="Y37" s="96" t="s">
        <v>25</v>
      </c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9"/>
        <v>233</v>
      </c>
      <c r="AM37" s="113">
        <f t="shared" si="10"/>
        <v>233000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9"/>
      <c r="L38" s="117"/>
      <c r="M38" s="169" t="s">
        <v>4705</v>
      </c>
      <c r="N38" s="113">
        <v>-47500000</v>
      </c>
      <c r="O38" s="96"/>
      <c r="P38" s="96"/>
      <c r="Q38" s="96"/>
      <c r="R38" s="115"/>
      <c r="S38" s="115"/>
      <c r="T38" s="115" t="s">
        <v>25</v>
      </c>
      <c r="U38" s="115"/>
      <c r="V38" s="115"/>
      <c r="W38" s="198"/>
      <c r="X38" s="198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9"/>
        <v>232</v>
      </c>
      <c r="AM38" s="113">
        <f t="shared" si="10"/>
        <v>7797520000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99" t="s">
        <v>4420</v>
      </c>
      <c r="L39" s="117">
        <v>3000000</v>
      </c>
      <c r="M39" s="169"/>
      <c r="N39" s="113"/>
      <c r="O39" s="96" t="s">
        <v>25</v>
      </c>
      <c r="P39" s="96"/>
      <c r="Q39" s="169" t="s">
        <v>657</v>
      </c>
      <c r="R39" s="169"/>
      <c r="S39" s="169"/>
      <c r="T39" s="169"/>
      <c r="U39" s="169"/>
      <c r="V39" s="169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9"/>
        <v>228</v>
      </c>
      <c r="AM39" s="113">
        <f t="shared" si="10"/>
        <v>-3556800000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 ht="30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99" t="s">
        <v>4630</v>
      </c>
      <c r="L40" s="117">
        <v>2000000</v>
      </c>
      <c r="M40" s="169" t="s">
        <v>4466</v>
      </c>
      <c r="N40" s="113">
        <v>105</v>
      </c>
      <c r="P40" t="s">
        <v>25</v>
      </c>
      <c r="Q40" s="169" t="s">
        <v>267</v>
      </c>
      <c r="R40" s="169" t="s">
        <v>180</v>
      </c>
      <c r="S40" s="169" t="s">
        <v>183</v>
      </c>
      <c r="T40" s="169" t="s">
        <v>8</v>
      </c>
      <c r="U40" s="169" t="s">
        <v>4369</v>
      </c>
      <c r="V40" s="73" t="s">
        <v>4371</v>
      </c>
      <c r="W40" s="32">
        <v>2</v>
      </c>
      <c r="X40" s="32">
        <v>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9"/>
        <v>225</v>
      </c>
      <c r="AM40" s="113">
        <f t="shared" si="10"/>
        <v>1687500000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56"/>
      <c r="L41" s="117"/>
      <c r="M41" s="169"/>
      <c r="N41" s="113"/>
      <c r="O41" s="99"/>
      <c r="P41" s="99"/>
      <c r="Q41" s="169">
        <v>0</v>
      </c>
      <c r="R41" s="169" t="s">
        <v>4173</v>
      </c>
      <c r="S41" s="169">
        <f>S58</f>
        <v>125</v>
      </c>
      <c r="T41" s="169"/>
      <c r="U41" s="169"/>
      <c r="V41" s="73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9"/>
        <v>221</v>
      </c>
      <c r="AM41" s="113">
        <f t="shared" si="10"/>
        <v>-21658000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56"/>
      <c r="L42" s="117"/>
      <c r="M42" s="211" t="s">
        <v>4397</v>
      </c>
      <c r="N42" s="113">
        <f t="shared" ref="N42" si="12">O42*P42</f>
        <v>36704000</v>
      </c>
      <c r="O42" s="99">
        <v>11470</v>
      </c>
      <c r="P42" s="99">
        <v>3200</v>
      </c>
      <c r="Q42" s="170">
        <v>863944</v>
      </c>
      <c r="R42" s="169" t="s">
        <v>4445</v>
      </c>
      <c r="S42" s="169">
        <f>S41-62</f>
        <v>63</v>
      </c>
      <c r="T42" s="193" t="s">
        <v>4522</v>
      </c>
      <c r="U42" s="169">
        <v>184.6</v>
      </c>
      <c r="V42" s="169">
        <f t="shared" ref="V42:V49" si="13">U42*(1+$N$90+$Q$15*S42/36500)</f>
        <v>195.58901041095893</v>
      </c>
      <c r="W42" s="32">
        <f t="shared" ref="W42:W49" si="14">V42*(1+$W$19/100)</f>
        <v>199.5007906191781</v>
      </c>
      <c r="X42" s="32">
        <f t="shared" ref="X42:X49" si="15">V42*(1+$X$19/100)</f>
        <v>203.4125708273973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9"/>
        <v>220</v>
      </c>
      <c r="AM42" s="113">
        <f t="shared" si="10"/>
        <v>-5720000000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99"/>
      <c r="L43" s="117"/>
      <c r="M43" s="21" t="s">
        <v>4605</v>
      </c>
      <c r="N43" s="117">
        <f t="shared" ref="N43:N59" si="16">O43*P43</f>
        <v>696400</v>
      </c>
      <c r="O43" s="69">
        <v>2000</v>
      </c>
      <c r="P43" s="69">
        <v>348.2</v>
      </c>
      <c r="Q43" s="170">
        <v>1692313</v>
      </c>
      <c r="R43" s="169" t="s">
        <v>4525</v>
      </c>
      <c r="S43" s="201">
        <f>S42-21</f>
        <v>42</v>
      </c>
      <c r="T43" s="192" t="s">
        <v>4526</v>
      </c>
      <c r="U43" s="169">
        <v>168.5</v>
      </c>
      <c r="V43" s="169">
        <f t="shared" si="13"/>
        <v>175.81613150684936</v>
      </c>
      <c r="W43" s="32">
        <f t="shared" si="14"/>
        <v>179.33245413698634</v>
      </c>
      <c r="X43" s="32">
        <f t="shared" si="15"/>
        <v>182.84877676712335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9"/>
        <v>220</v>
      </c>
      <c r="AM43" s="113">
        <f t="shared" si="10"/>
        <v>5500000000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/>
      <c r="L44" s="117"/>
      <c r="M44" s="21" t="s">
        <v>4587</v>
      </c>
      <c r="N44" s="117">
        <f t="shared" si="16"/>
        <v>1182000</v>
      </c>
      <c r="O44" s="69">
        <v>1000</v>
      </c>
      <c r="P44" s="69">
        <v>1182</v>
      </c>
      <c r="Q44" s="170">
        <v>101153</v>
      </c>
      <c r="R44" s="169" t="s">
        <v>4528</v>
      </c>
      <c r="S44" s="201">
        <f>S43-1</f>
        <v>41</v>
      </c>
      <c r="T44" s="192" t="s">
        <v>4530</v>
      </c>
      <c r="U44" s="169">
        <v>166.7</v>
      </c>
      <c r="V44" s="169">
        <f t="shared" si="13"/>
        <v>173.81009753424658</v>
      </c>
      <c r="W44" s="32">
        <f t="shared" si="14"/>
        <v>177.2862994849315</v>
      </c>
      <c r="X44" s="32">
        <f t="shared" si="15"/>
        <v>180.76250143561646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9"/>
        <v>219</v>
      </c>
      <c r="AM44" s="113">
        <f t="shared" si="10"/>
        <v>24090000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19" t="s">
        <v>4401</v>
      </c>
      <c r="N45" s="113">
        <f t="shared" si="16"/>
        <v>107485510.00000001</v>
      </c>
      <c r="O45" s="69">
        <v>21100</v>
      </c>
      <c r="P45" s="69">
        <v>5094.1000000000004</v>
      </c>
      <c r="Q45" s="170">
        <v>183105</v>
      </c>
      <c r="R45" s="169" t="s">
        <v>4232</v>
      </c>
      <c r="S45" s="201">
        <f>S44-1</f>
        <v>40</v>
      </c>
      <c r="T45" s="192" t="s">
        <v>4534</v>
      </c>
      <c r="U45" s="169">
        <v>166.6</v>
      </c>
      <c r="V45" s="169">
        <f t="shared" si="13"/>
        <v>173.57802958904111</v>
      </c>
      <c r="W45" s="32">
        <f t="shared" si="14"/>
        <v>177.04959018082192</v>
      </c>
      <c r="X45" s="32">
        <f t="shared" si="15"/>
        <v>180.52115077260277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9"/>
        <v>218</v>
      </c>
      <c r="AM45" s="113">
        <f t="shared" si="10"/>
        <v>82840000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21" t="s">
        <v>4662</v>
      </c>
      <c r="N46" s="117">
        <f t="shared" si="16"/>
        <v>1061000</v>
      </c>
      <c r="O46" s="69">
        <v>2500</v>
      </c>
      <c r="P46" s="69">
        <v>424.4</v>
      </c>
      <c r="Q46" s="170">
        <v>168846</v>
      </c>
      <c r="R46" s="169" t="s">
        <v>3692</v>
      </c>
      <c r="S46" s="201">
        <f>S45-30</f>
        <v>10</v>
      </c>
      <c r="T46" s="192" t="s">
        <v>4647</v>
      </c>
      <c r="U46" s="169">
        <v>172.2</v>
      </c>
      <c r="V46" s="169">
        <f t="shared" si="13"/>
        <v>175.44962630136988</v>
      </c>
      <c r="W46" s="32">
        <f t="shared" si="14"/>
        <v>178.95861882739729</v>
      </c>
      <c r="X46" s="32">
        <f t="shared" si="15"/>
        <v>182.46761135342467</v>
      </c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9"/>
        <v>211</v>
      </c>
      <c r="AM46" s="113">
        <f t="shared" si="10"/>
        <v>94950000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19" t="s">
        <v>4416</v>
      </c>
      <c r="N47" s="117">
        <f t="shared" si="16"/>
        <v>41806748.799999997</v>
      </c>
      <c r="O47" s="69">
        <v>82232</v>
      </c>
      <c r="P47" s="69">
        <v>508.4</v>
      </c>
      <c r="Q47" s="170">
        <v>296363</v>
      </c>
      <c r="R47" s="169" t="s">
        <v>4691</v>
      </c>
      <c r="S47" s="201">
        <f>S46-7</f>
        <v>3</v>
      </c>
      <c r="T47" s="192" t="s">
        <v>4695</v>
      </c>
      <c r="U47" s="169">
        <v>205</v>
      </c>
      <c r="V47" s="169">
        <f t="shared" si="13"/>
        <v>207.76778082191782</v>
      </c>
      <c r="W47" s="32">
        <f t="shared" si="14"/>
        <v>211.92313643835618</v>
      </c>
      <c r="X47" s="32">
        <f t="shared" si="15"/>
        <v>216.07849205479454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9"/>
        <v>205</v>
      </c>
      <c r="AM47" s="113">
        <f t="shared" si="10"/>
        <v>574000000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19" t="s">
        <v>4552</v>
      </c>
      <c r="N48" s="117">
        <f t="shared" si="16"/>
        <v>2686043.6</v>
      </c>
      <c r="O48" s="69">
        <v>698</v>
      </c>
      <c r="P48" s="69">
        <v>3848.2</v>
      </c>
      <c r="Q48" s="170">
        <v>250962</v>
      </c>
      <c r="R48" s="169" t="s">
        <v>4707</v>
      </c>
      <c r="S48" s="201">
        <f>S47-3</f>
        <v>0</v>
      </c>
      <c r="T48" s="192" t="s">
        <v>4708</v>
      </c>
      <c r="U48" s="169">
        <v>5315.5</v>
      </c>
      <c r="V48" s="169">
        <f t="shared" si="13"/>
        <v>5375.0336000000007</v>
      </c>
      <c r="W48" s="32">
        <f t="shared" si="14"/>
        <v>5482.5342720000008</v>
      </c>
      <c r="X48" s="32">
        <f t="shared" si="15"/>
        <v>5590.0349440000009</v>
      </c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9"/>
        <v>204</v>
      </c>
      <c r="AM48" s="113">
        <f t="shared" si="10"/>
        <v>-306000000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21" t="s">
        <v>4580</v>
      </c>
      <c r="N49" s="117">
        <f t="shared" si="16"/>
        <v>98263.6</v>
      </c>
      <c r="O49" s="69">
        <v>197</v>
      </c>
      <c r="P49" s="69">
        <v>498.8</v>
      </c>
      <c r="Q49" s="170"/>
      <c r="R49" s="169"/>
      <c r="S49" s="113"/>
      <c r="T49" s="113"/>
      <c r="U49" s="169"/>
      <c r="V49" s="169">
        <f t="shared" si="13"/>
        <v>0</v>
      </c>
      <c r="W49" s="32">
        <f t="shared" si="14"/>
        <v>0</v>
      </c>
      <c r="X49" s="32">
        <f t="shared" si="15"/>
        <v>0</v>
      </c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204</v>
      </c>
      <c r="AM49" s="113">
        <f t="shared" si="10"/>
        <v>622200000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 t="s">
        <v>25</v>
      </c>
      <c r="L50" s="117"/>
      <c r="M50" s="21" t="s">
        <v>4551</v>
      </c>
      <c r="N50" s="117">
        <f t="shared" si="16"/>
        <v>13734878</v>
      </c>
      <c r="O50" s="69">
        <v>3065</v>
      </c>
      <c r="P50" s="69">
        <v>4481.2</v>
      </c>
      <c r="Q50" s="113">
        <f>SUM(N27:N29)-SUM(Q41:Q49)</f>
        <v>-28634.399999999907</v>
      </c>
      <c r="R50" s="169"/>
      <c r="S50" s="169"/>
      <c r="T50" s="169"/>
      <c r="U50" s="169"/>
      <c r="V50" s="169"/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9"/>
        <v>201</v>
      </c>
      <c r="AM50" s="113">
        <f t="shared" si="10"/>
        <v>-1668222012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117"/>
      <c r="M51" s="21" t="s">
        <v>4652</v>
      </c>
      <c r="N51" s="117">
        <f t="shared" si="16"/>
        <v>3313200</v>
      </c>
      <c r="O51" s="69">
        <v>4000</v>
      </c>
      <c r="P51" s="69">
        <v>828.3</v>
      </c>
      <c r="R51" s="115"/>
      <c r="S51" s="115"/>
      <c r="T51" s="115" t="s">
        <v>25</v>
      </c>
      <c r="U51" s="115"/>
      <c r="V51" s="115"/>
      <c r="W51" s="198"/>
      <c r="X51" s="198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9"/>
        <v>199</v>
      </c>
      <c r="AM51" s="113">
        <f t="shared" si="10"/>
        <v>995000000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21" t="s">
        <v>4661</v>
      </c>
      <c r="N52" s="117">
        <f t="shared" si="16"/>
        <v>893958</v>
      </c>
      <c r="O52" s="69">
        <v>2190</v>
      </c>
      <c r="P52" s="69">
        <v>408.2</v>
      </c>
      <c r="Q52" t="s">
        <v>25</v>
      </c>
      <c r="S52" s="26" t="s">
        <v>25</v>
      </c>
      <c r="T52" t="s">
        <v>25</v>
      </c>
      <c r="U52" s="96" t="s">
        <v>25</v>
      </c>
      <c r="V52" s="115" t="s">
        <v>25</v>
      </c>
      <c r="W52" s="198"/>
      <c r="X52" s="198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185</v>
      </c>
      <c r="AM52" s="113">
        <f t="shared" si="10"/>
        <v>-16650000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21" t="s">
        <v>4696</v>
      </c>
      <c r="N53" s="117">
        <f t="shared" si="16"/>
        <v>326077.39999999997</v>
      </c>
      <c r="O53" s="69">
        <v>1439</v>
      </c>
      <c r="P53" s="69">
        <v>226.6</v>
      </c>
      <c r="Q53" t="s">
        <v>25</v>
      </c>
      <c r="T53" t="s">
        <v>25</v>
      </c>
      <c r="W53" s="198"/>
      <c r="X53" s="198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9"/>
        <v>184</v>
      </c>
      <c r="AM53" s="113">
        <f t="shared" si="10"/>
        <v>1030400000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 t="s">
        <v>25</v>
      </c>
      <c r="L54" s="117"/>
      <c r="M54" s="21" t="s">
        <v>4639</v>
      </c>
      <c r="N54" s="117">
        <f t="shared" si="16"/>
        <v>3572040</v>
      </c>
      <c r="O54" s="69">
        <v>5100</v>
      </c>
      <c r="P54" s="69">
        <v>700.4</v>
      </c>
      <c r="T54" t="s">
        <v>25</v>
      </c>
      <c r="U54" s="96" t="s">
        <v>25</v>
      </c>
      <c r="W54" s="198"/>
      <c r="X54" s="198"/>
      <c r="Y54">
        <v>961521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9"/>
        <v>180</v>
      </c>
      <c r="AM54" s="113">
        <f t="shared" si="10"/>
        <v>135000000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19" t="s">
        <v>4297</v>
      </c>
      <c r="N55" s="113">
        <f t="shared" si="16"/>
        <v>435750</v>
      </c>
      <c r="O55" s="69">
        <v>1500</v>
      </c>
      <c r="P55" s="69">
        <v>290.5</v>
      </c>
      <c r="W55" s="198"/>
      <c r="X55" s="198"/>
      <c r="Y55">
        <v>44349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9"/>
        <v>178</v>
      </c>
      <c r="AM55" s="171">
        <f t="shared" si="10"/>
        <v>-755076000</v>
      </c>
      <c r="AN55" s="172" t="s">
        <v>4063</v>
      </c>
    </row>
    <row r="56" spans="1:40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/>
      <c r="L56" s="117"/>
      <c r="M56" s="21" t="s">
        <v>4648</v>
      </c>
      <c r="N56" s="117">
        <f t="shared" si="16"/>
        <v>996000</v>
      </c>
      <c r="O56" s="69">
        <v>8000</v>
      </c>
      <c r="P56" s="69">
        <v>124.5</v>
      </c>
      <c r="Q56" s="73" t="s">
        <v>4296</v>
      </c>
      <c r="R56" s="112"/>
      <c r="S56" s="112"/>
      <c r="T56" s="112"/>
      <c r="U56" s="169" t="s">
        <v>4369</v>
      </c>
      <c r="V56" s="36" t="s">
        <v>4371</v>
      </c>
      <c r="W56" s="32"/>
      <c r="X56" s="32"/>
      <c r="Y56">
        <v>9625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9"/>
        <v>176</v>
      </c>
      <c r="AM56" s="113">
        <f t="shared" si="10"/>
        <v>721600000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/>
      <c r="L57" s="117"/>
      <c r="M57" s="21" t="s">
        <v>4663</v>
      </c>
      <c r="N57" s="117">
        <f t="shared" si="16"/>
        <v>1141250</v>
      </c>
      <c r="O57" s="69">
        <v>5500</v>
      </c>
      <c r="P57" s="69">
        <v>207.5</v>
      </c>
      <c r="Q57" s="112" t="s">
        <v>267</v>
      </c>
      <c r="R57" s="112" t="s">
        <v>180</v>
      </c>
      <c r="S57" s="112" t="s">
        <v>183</v>
      </c>
      <c r="T57" s="112" t="s">
        <v>8</v>
      </c>
      <c r="U57" s="169"/>
      <c r="V57" s="99"/>
      <c r="W57" s="32">
        <v>2</v>
      </c>
      <c r="X57" s="32">
        <v>4</v>
      </c>
      <c r="Y57">
        <v>6980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9"/>
        <v>176</v>
      </c>
      <c r="AM57" s="113">
        <f t="shared" si="10"/>
        <v>721600000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56"/>
      <c r="L58" s="117"/>
      <c r="M58" s="19" t="s">
        <v>4180</v>
      </c>
      <c r="N58" s="113">
        <f t="shared" si="16"/>
        <v>215903951.5</v>
      </c>
      <c r="O58" s="99">
        <v>1263335</v>
      </c>
      <c r="P58" s="99">
        <v>170.9</v>
      </c>
      <c r="Q58" s="170">
        <v>184971545</v>
      </c>
      <c r="R58" s="169" t="s">
        <v>4173</v>
      </c>
      <c r="S58" s="194">
        <v>125</v>
      </c>
      <c r="T58" s="169" t="s">
        <v>4352</v>
      </c>
      <c r="U58" s="169">
        <v>192</v>
      </c>
      <c r="V58" s="99">
        <f t="shared" ref="V58:V113" si="17">U58*(1+$N$90+$Q$15*S58/36500)</f>
        <v>212.5613589041096</v>
      </c>
      <c r="W58" s="32">
        <f t="shared" ref="W58:W84" si="18">V58*(1+$W$19/100)</f>
        <v>216.81258608219179</v>
      </c>
      <c r="X58" s="32">
        <f t="shared" ref="X58:X84" si="19">V58*(1+$X$19/100)</f>
        <v>221.06381326027397</v>
      </c>
      <c r="Y58">
        <v>6963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9"/>
        <v>175</v>
      </c>
      <c r="AM58" s="113">
        <f t="shared" si="10"/>
        <v>138250000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117"/>
      <c r="M59" s="21" t="s">
        <v>1086</v>
      </c>
      <c r="N59" s="117">
        <f t="shared" si="16"/>
        <v>13260000</v>
      </c>
      <c r="O59" s="69">
        <v>30</v>
      </c>
      <c r="P59" s="69">
        <v>442000</v>
      </c>
      <c r="Q59" s="170">
        <v>9560464</v>
      </c>
      <c r="R59" s="169" t="s">
        <v>4300</v>
      </c>
      <c r="S59" s="194">
        <f>S58-31</f>
        <v>94</v>
      </c>
      <c r="T59" s="169" t="s">
        <v>4316</v>
      </c>
      <c r="U59" s="169">
        <v>214.57</v>
      </c>
      <c r="V59" s="99">
        <f t="shared" si="17"/>
        <v>232.44573852054796</v>
      </c>
      <c r="W59" s="32">
        <f t="shared" si="18"/>
        <v>237.09465329095892</v>
      </c>
      <c r="X59" s="32">
        <f t="shared" si="19"/>
        <v>241.7435680613699</v>
      </c>
      <c r="Y59" s="96">
        <v>0</v>
      </c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9"/>
        <v>160</v>
      </c>
      <c r="AM59" s="173">
        <f t="shared" si="10"/>
        <v>-618400000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117"/>
      <c r="M60" s="73"/>
      <c r="N60" s="117"/>
      <c r="O60" s="122"/>
      <c r="P60" s="122"/>
      <c r="Q60" s="170">
        <v>2000000</v>
      </c>
      <c r="R60" s="169" t="s">
        <v>4347</v>
      </c>
      <c r="S60" s="169">
        <f>S59-11</f>
        <v>83</v>
      </c>
      <c r="T60" s="169" t="s">
        <v>4351</v>
      </c>
      <c r="U60" s="169">
        <v>206.8</v>
      </c>
      <c r="V60" s="99">
        <f t="shared" si="17"/>
        <v>222.28337095890416</v>
      </c>
      <c r="W60" s="32">
        <f t="shared" si="18"/>
        <v>226.72903837808224</v>
      </c>
      <c r="X60" s="32">
        <f t="shared" si="19"/>
        <v>231.17470579726034</v>
      </c>
      <c r="Y60" s="96">
        <v>9904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9"/>
        <v>154</v>
      </c>
      <c r="AM60" s="113">
        <f t="shared" si="10"/>
        <v>2895200000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99"/>
      <c r="L61" s="117"/>
      <c r="M61" s="169" t="s">
        <v>1153</v>
      </c>
      <c r="N61" s="117">
        <v>14908</v>
      </c>
      <c r="O61" s="96" t="s">
        <v>25</v>
      </c>
      <c r="P61" t="s">
        <v>25</v>
      </c>
      <c r="Q61" s="170">
        <v>1429825</v>
      </c>
      <c r="R61" s="169" t="s">
        <v>4378</v>
      </c>
      <c r="S61" s="169">
        <f>S60-7</f>
        <v>76</v>
      </c>
      <c r="T61" s="169" t="s">
        <v>4387</v>
      </c>
      <c r="U61" s="169">
        <v>203.9</v>
      </c>
      <c r="V61" s="99">
        <f t="shared" si="17"/>
        <v>218.07132931506851</v>
      </c>
      <c r="W61" s="32">
        <f t="shared" si="18"/>
        <v>222.43275590136989</v>
      </c>
      <c r="X61" s="32">
        <f t="shared" si="19"/>
        <v>226.79418248767126</v>
      </c>
      <c r="Y61" s="96">
        <v>0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9"/>
        <v>151</v>
      </c>
      <c r="AM61" s="113">
        <f t="shared" si="10"/>
        <v>75500000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99"/>
      <c r="L62" s="99"/>
      <c r="M62" s="169" t="s">
        <v>1154</v>
      </c>
      <c r="N62" s="117">
        <v>5282</v>
      </c>
      <c r="O62" s="96"/>
      <c r="P62" t="s">
        <v>25</v>
      </c>
      <c r="Q62" s="170">
        <v>1420747</v>
      </c>
      <c r="R62" s="169" t="s">
        <v>4378</v>
      </c>
      <c r="S62" s="169">
        <f>S61</f>
        <v>76</v>
      </c>
      <c r="T62" s="169" t="s">
        <v>4389</v>
      </c>
      <c r="U62" s="169">
        <v>203.1</v>
      </c>
      <c r="V62" s="99">
        <f t="shared" si="17"/>
        <v>217.21572821917809</v>
      </c>
      <c r="W62" s="32">
        <f t="shared" si="18"/>
        <v>221.56004278356164</v>
      </c>
      <c r="X62" s="32">
        <f t="shared" si="19"/>
        <v>225.90435734794522</v>
      </c>
      <c r="Y62" s="96">
        <v>0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150</v>
      </c>
      <c r="AM62" s="113">
        <f t="shared" si="10"/>
        <v>30000000</v>
      </c>
      <c r="AN62" s="20"/>
    </row>
    <row r="63" spans="1:40">
      <c r="E63" s="26"/>
      <c r="K63" s="169"/>
      <c r="L63" s="117"/>
      <c r="M63" s="169"/>
      <c r="N63" s="113"/>
      <c r="O63" s="115"/>
      <c r="P63" s="115"/>
      <c r="Q63" s="170">
        <v>2412371</v>
      </c>
      <c r="R63" s="169" t="s">
        <v>4380</v>
      </c>
      <c r="S63" s="169">
        <f>S62-1</f>
        <v>75</v>
      </c>
      <c r="T63" s="169" t="s">
        <v>4396</v>
      </c>
      <c r="U63" s="169">
        <v>3930</v>
      </c>
      <c r="V63" s="99">
        <f t="shared" si="17"/>
        <v>4200.1255890410966</v>
      </c>
      <c r="W63" s="32">
        <f t="shared" si="18"/>
        <v>4284.1281008219185</v>
      </c>
      <c r="X63" s="32">
        <f t="shared" si="19"/>
        <v>4368.1306126027403</v>
      </c>
      <c r="Y63" s="96">
        <v>10000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9"/>
        <v>147</v>
      </c>
      <c r="AM63" s="113">
        <f t="shared" si="10"/>
        <v>147000000</v>
      </c>
      <c r="AN63" s="20"/>
    </row>
    <row r="64" spans="1:40">
      <c r="E64" s="26"/>
      <c r="K64" s="169" t="s">
        <v>25</v>
      </c>
      <c r="L64" s="117"/>
      <c r="M64" s="169" t="s">
        <v>4181</v>
      </c>
      <c r="N64" s="113">
        <f>-O64*P64</f>
        <v>-14145905.700000001</v>
      </c>
      <c r="O64" s="99">
        <v>82773</v>
      </c>
      <c r="P64" s="99">
        <f>P58</f>
        <v>170.9</v>
      </c>
      <c r="Q64" s="170">
        <v>2010885</v>
      </c>
      <c r="R64" s="169" t="s">
        <v>4399</v>
      </c>
      <c r="S64" s="169">
        <f>S63-2</f>
        <v>73</v>
      </c>
      <c r="T64" s="169" t="s">
        <v>4405</v>
      </c>
      <c r="U64" s="169">
        <v>202.1</v>
      </c>
      <c r="V64" s="99">
        <f t="shared" si="17"/>
        <v>215.68112000000002</v>
      </c>
      <c r="W64" s="32">
        <f t="shared" si="18"/>
        <v>219.99474240000004</v>
      </c>
      <c r="X64" s="32">
        <f t="shared" si="19"/>
        <v>224.30836480000002</v>
      </c>
      <c r="Y64" s="96">
        <v>5664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144</v>
      </c>
      <c r="AM64" s="113">
        <f t="shared" si="10"/>
        <v>187200000</v>
      </c>
      <c r="AN64" s="20"/>
    </row>
    <row r="65" spans="1:40">
      <c r="K65" s="169"/>
      <c r="L65" s="117"/>
      <c r="M65" s="169"/>
      <c r="N65" s="113"/>
      <c r="Q65" s="170">
        <v>1994038</v>
      </c>
      <c r="R65" s="169" t="s">
        <v>4410</v>
      </c>
      <c r="S65" s="169">
        <f>S64-3</f>
        <v>70</v>
      </c>
      <c r="T65" s="169" t="s">
        <v>4427</v>
      </c>
      <c r="U65" s="169">
        <v>5560.3</v>
      </c>
      <c r="V65" s="99">
        <f t="shared" si="17"/>
        <v>5921.1558531506862</v>
      </c>
      <c r="W65" s="32">
        <f t="shared" si="18"/>
        <v>6039.5789702136999</v>
      </c>
      <c r="X65" s="32">
        <f t="shared" si="19"/>
        <v>6158.0020872767136</v>
      </c>
      <c r="Y65" s="96">
        <v>10000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20">AL66+AK65</f>
        <v>144</v>
      </c>
      <c r="AM65" s="113">
        <f t="shared" si="10"/>
        <v>143280000</v>
      </c>
      <c r="AN65" s="20"/>
    </row>
    <row r="66" spans="1:40">
      <c r="K66" s="169"/>
      <c r="L66" s="117"/>
      <c r="M66" s="169"/>
      <c r="N66" s="113"/>
      <c r="Q66" s="170">
        <v>444</v>
      </c>
      <c r="R66" s="169" t="s">
        <v>4410</v>
      </c>
      <c r="S66" s="196">
        <f>S65</f>
        <v>70</v>
      </c>
      <c r="T66" s="169" t="s">
        <v>4636</v>
      </c>
      <c r="U66" s="169">
        <v>441.8</v>
      </c>
      <c r="V66" s="99">
        <f t="shared" si="17"/>
        <v>470.47221479452065</v>
      </c>
      <c r="W66" s="32">
        <f t="shared" si="18"/>
        <v>479.88165909041106</v>
      </c>
      <c r="X66" s="32">
        <f t="shared" si="19"/>
        <v>489.29110338630147</v>
      </c>
      <c r="Y66" s="96">
        <v>8695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20"/>
        <v>142</v>
      </c>
      <c r="AM66" s="113">
        <f t="shared" si="10"/>
        <v>1846000000</v>
      </c>
      <c r="AN66" s="20"/>
    </row>
    <row r="67" spans="1:40">
      <c r="A67" t="s">
        <v>25</v>
      </c>
      <c r="F67" t="s">
        <v>310</v>
      </c>
      <c r="G67" t="s">
        <v>4100</v>
      </c>
      <c r="K67" s="169"/>
      <c r="L67" s="117"/>
      <c r="M67" s="169" t="s">
        <v>4453</v>
      </c>
      <c r="N67" s="113">
        <f>-S130</f>
        <v>-14018666.714694457</v>
      </c>
      <c r="Q67" s="170">
        <v>1971103</v>
      </c>
      <c r="R67" s="169" t="s">
        <v>4422</v>
      </c>
      <c r="S67" s="169">
        <f>S66-1</f>
        <v>69</v>
      </c>
      <c r="T67" s="169" t="s">
        <v>4423</v>
      </c>
      <c r="U67" s="169">
        <v>196.2</v>
      </c>
      <c r="V67" s="99">
        <f t="shared" si="17"/>
        <v>208.78260164383562</v>
      </c>
      <c r="W67" s="32">
        <f t="shared" si="18"/>
        <v>212.95825367671233</v>
      </c>
      <c r="X67" s="32">
        <f t="shared" si="19"/>
        <v>217.13390570958904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20"/>
        <v>140</v>
      </c>
      <c r="AM67" s="113">
        <f t="shared" si="10"/>
        <v>-434000000</v>
      </c>
      <c r="AN67" s="20"/>
    </row>
    <row r="68" spans="1:40">
      <c r="F68" t="s">
        <v>4104</v>
      </c>
      <c r="G68" t="s">
        <v>4099</v>
      </c>
      <c r="K68" s="169"/>
      <c r="L68" s="117"/>
      <c r="M68" s="169"/>
      <c r="N68" s="113"/>
      <c r="P68" t="s">
        <v>25</v>
      </c>
      <c r="Q68" s="170">
        <v>1049856</v>
      </c>
      <c r="R68" s="169" t="s">
        <v>4445</v>
      </c>
      <c r="S68" s="202">
        <f>S67-6</f>
        <v>63</v>
      </c>
      <c r="T68" s="169" t="s">
        <v>4484</v>
      </c>
      <c r="U68" s="169">
        <v>184.5</v>
      </c>
      <c r="V68" s="99">
        <f t="shared" si="17"/>
        <v>195.4830575342466</v>
      </c>
      <c r="W68" s="32">
        <f t="shared" si="18"/>
        <v>199.39271868493154</v>
      </c>
      <c r="X68" s="32">
        <f t="shared" si="19"/>
        <v>203.30237983561648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20"/>
        <v>137</v>
      </c>
      <c r="AM68" s="113">
        <f t="shared" si="10"/>
        <v>6252680000</v>
      </c>
      <c r="AN68" s="20"/>
    </row>
    <row r="69" spans="1:40">
      <c r="F69" t="s">
        <v>4105</v>
      </c>
      <c r="G69" t="s">
        <v>4101</v>
      </c>
      <c r="K69" s="169"/>
      <c r="L69" s="117"/>
      <c r="M69" s="169"/>
      <c r="N69" s="113"/>
      <c r="Q69" s="170">
        <v>1783234</v>
      </c>
      <c r="R69" s="169" t="s">
        <v>4447</v>
      </c>
      <c r="S69" s="169">
        <f>S68-2</f>
        <v>61</v>
      </c>
      <c r="T69" s="169" t="s">
        <v>4448</v>
      </c>
      <c r="U69" s="169">
        <v>177.5</v>
      </c>
      <c r="V69" s="99">
        <f t="shared" si="17"/>
        <v>187.79402739726029</v>
      </c>
      <c r="W69" s="32">
        <f t="shared" si="18"/>
        <v>191.54990794520549</v>
      </c>
      <c r="X69" s="32">
        <f t="shared" si="19"/>
        <v>195.30578849315071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20"/>
        <v>136</v>
      </c>
      <c r="AM69" s="113">
        <f t="shared" si="10"/>
        <v>4556000000</v>
      </c>
      <c r="AN69" s="20"/>
    </row>
    <row r="70" spans="1:40">
      <c r="G70" t="s">
        <v>4102</v>
      </c>
      <c r="K70" s="169" t="s">
        <v>598</v>
      </c>
      <c r="L70" s="113">
        <f>SUM(L16:L56)</f>
        <v>360820750.30259955</v>
      </c>
      <c r="M70" s="169"/>
      <c r="N70" s="113">
        <f>SUM(N16:N66)</f>
        <v>433819376.99740046</v>
      </c>
      <c r="Q70" s="170">
        <v>1662335</v>
      </c>
      <c r="R70" s="169" t="s">
        <v>4451</v>
      </c>
      <c r="S70" s="201">
        <f>S69-5</f>
        <v>56</v>
      </c>
      <c r="T70" s="73" t="s">
        <v>4617</v>
      </c>
      <c r="U70" s="169">
        <v>190.3</v>
      </c>
      <c r="V70" s="99">
        <f t="shared" si="17"/>
        <v>200.60643945205481</v>
      </c>
      <c r="W70" s="32">
        <f t="shared" si="18"/>
        <v>204.61856824109591</v>
      </c>
      <c r="X70" s="32">
        <f t="shared" si="19"/>
        <v>208.63069703013701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20"/>
        <v>135</v>
      </c>
      <c r="AM70" s="117">
        <f t="shared" si="10"/>
        <v>1620000000</v>
      </c>
      <c r="AN70" s="20"/>
    </row>
    <row r="71" spans="1:40">
      <c r="G71" t="s">
        <v>4103</v>
      </c>
      <c r="K71" s="169" t="s">
        <v>599</v>
      </c>
      <c r="L71" s="113">
        <f>L16+L17+L24</f>
        <v>679640</v>
      </c>
      <c r="M71" s="169"/>
      <c r="N71" s="113">
        <f>N16+N17+N33</f>
        <v>1987610</v>
      </c>
      <c r="Q71" s="170">
        <v>159753</v>
      </c>
      <c r="R71" s="169" t="s">
        <v>4578</v>
      </c>
      <c r="S71" s="169">
        <f>S70-25</f>
        <v>31</v>
      </c>
      <c r="T71" s="73" t="s">
        <v>4594</v>
      </c>
      <c r="U71" s="169">
        <v>286</v>
      </c>
      <c r="V71" s="99">
        <f t="shared" si="17"/>
        <v>296.00451506849316</v>
      </c>
      <c r="W71" s="32">
        <f t="shared" si="18"/>
        <v>301.92460536986306</v>
      </c>
      <c r="X71" s="32">
        <f t="shared" si="19"/>
        <v>307.8446956712329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20"/>
        <v>134</v>
      </c>
      <c r="AM71" s="117">
        <f t="shared" si="10"/>
        <v>2077000000</v>
      </c>
      <c r="AN71" s="20"/>
    </row>
    <row r="72" spans="1:40">
      <c r="G72" t="s">
        <v>4107</v>
      </c>
      <c r="K72" s="56" t="s">
        <v>716</v>
      </c>
      <c r="L72" s="1">
        <f>L70+N7</f>
        <v>430820750.30259955</v>
      </c>
      <c r="M72" s="113"/>
      <c r="N72" s="169"/>
      <c r="O72" s="115"/>
      <c r="P72" s="115"/>
      <c r="Q72" s="170">
        <v>172133</v>
      </c>
      <c r="R72" s="169" t="s">
        <v>4579</v>
      </c>
      <c r="S72" s="169">
        <f>S71-3</f>
        <v>28</v>
      </c>
      <c r="T72" s="73" t="s">
        <v>4595</v>
      </c>
      <c r="U72" s="169">
        <v>287</v>
      </c>
      <c r="V72" s="99">
        <f t="shared" si="17"/>
        <v>296.37900273972605</v>
      </c>
      <c r="W72" s="32">
        <f t="shared" si="18"/>
        <v>302.30658279452058</v>
      </c>
      <c r="X72" s="32">
        <f t="shared" si="19"/>
        <v>308.23416284931511</v>
      </c>
      <c r="Y72">
        <v>13000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20"/>
        <v>130</v>
      </c>
      <c r="AM72" s="117">
        <f t="shared" si="10"/>
        <v>19500000</v>
      </c>
      <c r="AN72" s="20"/>
    </row>
    <row r="73" spans="1:40">
      <c r="G73" t="s">
        <v>4106</v>
      </c>
      <c r="O73" s="96"/>
      <c r="P73" s="96"/>
      <c r="Q73" s="170">
        <v>100530</v>
      </c>
      <c r="R73" s="169" t="s">
        <v>4579</v>
      </c>
      <c r="S73" s="169">
        <f>S72</f>
        <v>28</v>
      </c>
      <c r="T73" s="73" t="s">
        <v>4596</v>
      </c>
      <c r="U73" s="169">
        <v>508</v>
      </c>
      <c r="V73" s="99">
        <f t="shared" si="17"/>
        <v>524.60116164383567</v>
      </c>
      <c r="W73" s="32">
        <f t="shared" si="18"/>
        <v>535.09318487671237</v>
      </c>
      <c r="X73" s="32">
        <f t="shared" si="19"/>
        <v>545.58520810958908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20"/>
        <v>129</v>
      </c>
      <c r="AM73" s="182">
        <f t="shared" si="10"/>
        <v>3741000000</v>
      </c>
      <c r="AN73" s="181" t="s">
        <v>4187</v>
      </c>
    </row>
    <row r="74" spans="1:40">
      <c r="M74" s="25"/>
      <c r="O74" t="s">
        <v>25</v>
      </c>
      <c r="Q74" s="170">
        <v>499973</v>
      </c>
      <c r="R74" s="169" t="s">
        <v>4606</v>
      </c>
      <c r="S74" s="169">
        <f>S73-9</f>
        <v>19</v>
      </c>
      <c r="T74" s="73" t="s">
        <v>4607</v>
      </c>
      <c r="U74" s="169">
        <v>413</v>
      </c>
      <c r="V74" s="99">
        <f t="shared" si="17"/>
        <v>423.64521643835616</v>
      </c>
      <c r="W74" s="32">
        <f t="shared" si="18"/>
        <v>432.11812076712329</v>
      </c>
      <c r="X74" s="32">
        <f t="shared" si="19"/>
        <v>440.59102509589042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20"/>
        <v>114</v>
      </c>
      <c r="AM74" s="117">
        <f t="shared" si="10"/>
        <v>-14820000</v>
      </c>
      <c r="AN74" s="20" t="s">
        <v>4213</v>
      </c>
    </row>
    <row r="75" spans="1:40">
      <c r="M75" s="25" t="s">
        <v>4081</v>
      </c>
      <c r="O75" s="115"/>
      <c r="P75" s="115"/>
      <c r="Q75" s="170">
        <v>11869317</v>
      </c>
      <c r="R75" s="169" t="s">
        <v>4618</v>
      </c>
      <c r="S75" s="169">
        <f>S74-2</f>
        <v>17</v>
      </c>
      <c r="T75" s="169" t="s">
        <v>4619</v>
      </c>
      <c r="U75" s="169">
        <v>395600</v>
      </c>
      <c r="V75" s="99">
        <f t="shared" si="17"/>
        <v>405189.77753424662</v>
      </c>
      <c r="W75" s="32">
        <f t="shared" si="18"/>
        <v>413293.57308493159</v>
      </c>
      <c r="X75" s="32">
        <f t="shared" si="19"/>
        <v>421397.3686356165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20"/>
        <v>107</v>
      </c>
      <c r="AM75" s="117">
        <f>AJ75*AL75</f>
        <v>24824000</v>
      </c>
      <c r="AN75" s="20" t="s">
        <v>4261</v>
      </c>
    </row>
    <row r="76" spans="1:40">
      <c r="D76" s="3"/>
      <c r="E76" s="11" t="s">
        <v>304</v>
      </c>
      <c r="M76" s="178"/>
      <c r="O76" s="115"/>
      <c r="P76" s="115"/>
      <c r="Q76" s="170">
        <v>2272487</v>
      </c>
      <c r="R76" s="169" t="s">
        <v>4628</v>
      </c>
      <c r="S76" s="169">
        <f>S75-3</f>
        <v>14</v>
      </c>
      <c r="T76" s="169" t="s">
        <v>4629</v>
      </c>
      <c r="U76" s="169">
        <v>174.9</v>
      </c>
      <c r="V76" s="99">
        <f t="shared" si="17"/>
        <v>178.73725808219183</v>
      </c>
      <c r="W76" s="32">
        <f t="shared" si="18"/>
        <v>182.31200324383568</v>
      </c>
      <c r="X76" s="32">
        <f t="shared" si="19"/>
        <v>185.88674840547952</v>
      </c>
      <c r="Y76">
        <v>23000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20"/>
        <v>105</v>
      </c>
      <c r="AM76" s="117">
        <f t="shared" si="10"/>
        <v>-17850000</v>
      </c>
      <c r="AN76" s="20"/>
    </row>
    <row r="77" spans="1:40">
      <c r="D77" s="1" t="s">
        <v>305</v>
      </c>
      <c r="E77" s="1">
        <v>70000</v>
      </c>
      <c r="M77" s="96" t="s">
        <v>4729</v>
      </c>
      <c r="Q77" s="170">
        <v>3975257</v>
      </c>
      <c r="R77" s="169" t="s">
        <v>4634</v>
      </c>
      <c r="S77" s="169">
        <f>S76-1</f>
        <v>13</v>
      </c>
      <c r="T77" s="169" t="s">
        <v>4635</v>
      </c>
      <c r="U77" s="169">
        <v>173</v>
      </c>
      <c r="V77" s="99">
        <f t="shared" si="17"/>
        <v>176.66286027397263</v>
      </c>
      <c r="W77" s="32">
        <f t="shared" si="18"/>
        <v>180.19611747945208</v>
      </c>
      <c r="X77" s="32">
        <f t="shared" si="19"/>
        <v>183.72937468493154</v>
      </c>
      <c r="Y77">
        <v>6000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20"/>
        <v>102</v>
      </c>
      <c r="AM77" s="117">
        <f t="shared" si="10"/>
        <v>-30600000</v>
      </c>
      <c r="AN77" s="20"/>
    </row>
    <row r="78" spans="1:40">
      <c r="D78" s="1" t="s">
        <v>321</v>
      </c>
      <c r="E78" s="1">
        <v>100000</v>
      </c>
      <c r="M78" s="122" t="s">
        <v>4417</v>
      </c>
      <c r="O78" s="114"/>
      <c r="Q78" s="170">
        <v>1031662</v>
      </c>
      <c r="R78" s="169" t="s">
        <v>4235</v>
      </c>
      <c r="S78" s="169">
        <f>S77-1</f>
        <v>12</v>
      </c>
      <c r="T78" s="169" t="s">
        <v>4638</v>
      </c>
      <c r="U78" s="169">
        <v>171.2</v>
      </c>
      <c r="V78" s="99">
        <f t="shared" si="17"/>
        <v>174.69341808219178</v>
      </c>
      <c r="W78" s="32">
        <f t="shared" si="18"/>
        <v>178.18728644383563</v>
      </c>
      <c r="X78" s="32">
        <f t="shared" si="19"/>
        <v>181.68115480547945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99</v>
      </c>
      <c r="AM78" s="117">
        <f t="shared" si="10"/>
        <v>-1128600000</v>
      </c>
      <c r="AN78" s="20"/>
    </row>
    <row r="79" spans="1:40">
      <c r="D79" s="1" t="s">
        <v>306</v>
      </c>
      <c r="E79" s="1">
        <v>80000</v>
      </c>
      <c r="M79" s="122" t="s">
        <v>4519</v>
      </c>
      <c r="N79" s="96"/>
      <c r="Q79" s="170">
        <v>2666019</v>
      </c>
      <c r="R79" s="169" t="s">
        <v>4235</v>
      </c>
      <c r="S79" s="169">
        <f>S78</f>
        <v>12</v>
      </c>
      <c r="T79" s="169" t="s">
        <v>4640</v>
      </c>
      <c r="U79" s="169">
        <v>749</v>
      </c>
      <c r="V79" s="99">
        <f t="shared" si="17"/>
        <v>764.28370410958917</v>
      </c>
      <c r="W79" s="32">
        <f t="shared" si="18"/>
        <v>779.56937819178097</v>
      </c>
      <c r="X79" s="32">
        <f t="shared" si="19"/>
        <v>794.85505227397277</v>
      </c>
      <c r="Y79">
        <v>3300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86</v>
      </c>
      <c r="AM79" s="117">
        <f>AJ79*AL79</f>
        <v>-860000000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4598</v>
      </c>
      <c r="N80" s="96"/>
      <c r="P80" t="s">
        <v>25</v>
      </c>
      <c r="Q80" s="170">
        <v>577500</v>
      </c>
      <c r="R80" s="169" t="s">
        <v>4235</v>
      </c>
      <c r="S80" s="169">
        <f>S79</f>
        <v>12</v>
      </c>
      <c r="T80" s="169" t="s">
        <v>4643</v>
      </c>
      <c r="U80" s="169">
        <v>175</v>
      </c>
      <c r="V80" s="99">
        <f t="shared" si="17"/>
        <v>178.57095890410963</v>
      </c>
      <c r="W80" s="32">
        <f t="shared" si="18"/>
        <v>182.14237808219184</v>
      </c>
      <c r="X80" s="32">
        <f t="shared" si="19"/>
        <v>185.71379726027402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85</v>
      </c>
      <c r="AM80" s="117">
        <f>AJ80*AL80</f>
        <v>-208250000</v>
      </c>
      <c r="AN80" s="20"/>
    </row>
    <row r="81" spans="4:52" ht="30">
      <c r="D81" s="31" t="s">
        <v>308</v>
      </c>
      <c r="E81" s="1">
        <v>300000</v>
      </c>
      <c r="K81" s="220" t="s">
        <v>4765</v>
      </c>
      <c r="L81" s="22" t="s">
        <v>4681</v>
      </c>
      <c r="M81" s="213" t="s">
        <v>4730</v>
      </c>
      <c r="N81" s="96"/>
      <c r="P81" s="115"/>
      <c r="Q81" s="170">
        <v>12636487</v>
      </c>
      <c r="R81" s="169" t="s">
        <v>3692</v>
      </c>
      <c r="S81" s="169">
        <f>S80-2</f>
        <v>10</v>
      </c>
      <c r="T81" s="169" t="s">
        <v>4646</v>
      </c>
      <c r="U81" s="169">
        <v>172.1</v>
      </c>
      <c r="V81" s="99">
        <f t="shared" si="17"/>
        <v>175.34773917808221</v>
      </c>
      <c r="W81" s="32">
        <f t="shared" si="18"/>
        <v>178.85469396164385</v>
      </c>
      <c r="X81" s="32">
        <f t="shared" si="19"/>
        <v>182.36164874520551</v>
      </c>
      <c r="Y81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20"/>
        <v>80</v>
      </c>
      <c r="AM81" s="117">
        <f t="shared" si="10"/>
        <v>-36486480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J82" t="s">
        <v>4697</v>
      </c>
      <c r="M82" s="122" t="s">
        <v>4518</v>
      </c>
      <c r="N82" s="96"/>
      <c r="P82" s="115" t="s">
        <v>25</v>
      </c>
      <c r="Q82" s="170">
        <v>1210169</v>
      </c>
      <c r="R82" s="169" t="s">
        <v>4650</v>
      </c>
      <c r="S82" s="169">
        <f>S81-3</f>
        <v>7</v>
      </c>
      <c r="T82" s="169" t="s">
        <v>4651</v>
      </c>
      <c r="U82" s="169">
        <v>1204.7</v>
      </c>
      <c r="V82" s="99">
        <f t="shared" si="17"/>
        <v>1224.6617139726029</v>
      </c>
      <c r="W82" s="32">
        <f t="shared" si="18"/>
        <v>1249.154948252055</v>
      </c>
      <c r="X82" s="32">
        <f t="shared" si="19"/>
        <v>1273.648182531507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79</v>
      </c>
      <c r="AM82" s="117">
        <f t="shared" si="10"/>
        <v>-39500000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s="122" t="s">
        <v>4600</v>
      </c>
      <c r="O83" t="s">
        <v>25</v>
      </c>
      <c r="P83" s="115"/>
      <c r="Q83" s="170">
        <v>1997458</v>
      </c>
      <c r="R83" s="169" t="s">
        <v>4650</v>
      </c>
      <c r="S83" s="169">
        <f>S82</f>
        <v>7</v>
      </c>
      <c r="T83" s="169" t="s">
        <v>4653</v>
      </c>
      <c r="U83" s="169">
        <v>862.2</v>
      </c>
      <c r="V83" s="99">
        <f t="shared" si="17"/>
        <v>876.48653589041112</v>
      </c>
      <c r="W83" s="32">
        <f t="shared" si="18"/>
        <v>894.01626660821933</v>
      </c>
      <c r="X83" s="32">
        <f t="shared" si="19"/>
        <v>911.54599732602765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20"/>
        <v>77</v>
      </c>
      <c r="AM83" s="117">
        <f t="shared" si="10"/>
        <v>-480046490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s="96">
        <f>O58+O21+O29-O64</f>
        <v>1271104</v>
      </c>
      <c r="N84" s="113">
        <f>M84*P58</f>
        <v>217231673.59999999</v>
      </c>
      <c r="P84" s="115"/>
      <c r="Q84" s="170">
        <v>12131182</v>
      </c>
      <c r="R84" s="169" t="s">
        <v>4650</v>
      </c>
      <c r="S84" s="169">
        <f>S83</f>
        <v>7</v>
      </c>
      <c r="T84" s="169" t="s">
        <v>4654</v>
      </c>
      <c r="U84" s="169">
        <v>171.8</v>
      </c>
      <c r="V84" s="99">
        <f t="shared" si="17"/>
        <v>174.64670246575346</v>
      </c>
      <c r="W84" s="32">
        <f t="shared" si="18"/>
        <v>178.13963651506853</v>
      </c>
      <c r="X84" s="32">
        <f t="shared" si="19"/>
        <v>181.6325705643836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20"/>
        <v>74</v>
      </c>
      <c r="AM84" s="117">
        <f t="shared" si="10"/>
        <v>144370818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M85" t="s">
        <v>4268</v>
      </c>
      <c r="P85" s="115"/>
      <c r="Q85" s="170">
        <v>8978273</v>
      </c>
      <c r="R85" s="169" t="s">
        <v>4658</v>
      </c>
      <c r="S85" s="169">
        <f>S84-1</f>
        <v>6</v>
      </c>
      <c r="T85" s="169" t="s">
        <v>4659</v>
      </c>
      <c r="U85" s="169">
        <v>3405.9</v>
      </c>
      <c r="V85" s="99">
        <f t="shared" si="17"/>
        <v>3459.7225512328769</v>
      </c>
      <c r="W85" s="32">
        <f t="shared" ref="W85:W117" si="21">V85*(1+$W$19/100)</f>
        <v>3528.9170022575345</v>
      </c>
      <c r="X85" s="32">
        <f t="shared" ref="X85:X117" si="22">V85*(1+$X$19/100)</f>
        <v>3598.1114532821921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20"/>
        <v>70</v>
      </c>
      <c r="AM85" s="117">
        <f t="shared" si="10"/>
        <v>42000000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4604</v>
      </c>
      <c r="N86" t="s">
        <v>25</v>
      </c>
      <c r="P86" s="115"/>
      <c r="Q86" s="170">
        <v>1001073</v>
      </c>
      <c r="R86" s="169" t="s">
        <v>4658</v>
      </c>
      <c r="S86" s="169">
        <f>S85</f>
        <v>6</v>
      </c>
      <c r="T86" s="169" t="s">
        <v>4660</v>
      </c>
      <c r="U86" s="169">
        <v>455</v>
      </c>
      <c r="V86" s="99">
        <f t="shared" si="17"/>
        <v>462.19024657534248</v>
      </c>
      <c r="W86" s="32">
        <f t="shared" si="21"/>
        <v>471.43405150684936</v>
      </c>
      <c r="X86" s="32">
        <f t="shared" si="22"/>
        <v>480.67785643835617</v>
      </c>
      <c r="Y86" s="128" t="s">
        <v>25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20"/>
        <v>65</v>
      </c>
      <c r="AM86" s="117">
        <f t="shared" si="10"/>
        <v>487500000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P87" s="115"/>
      <c r="Q87" s="170">
        <v>1026238</v>
      </c>
      <c r="R87" s="169" t="s">
        <v>4658</v>
      </c>
      <c r="S87" s="169">
        <f>S86</f>
        <v>6</v>
      </c>
      <c r="T87" s="169" t="s">
        <v>4664</v>
      </c>
      <c r="U87" s="169">
        <v>408.6</v>
      </c>
      <c r="V87" s="99">
        <f t="shared" si="17"/>
        <v>415.05699945205481</v>
      </c>
      <c r="W87" s="32">
        <f t="shared" si="21"/>
        <v>423.35813944109589</v>
      </c>
      <c r="X87" s="32">
        <f t="shared" si="22"/>
        <v>431.65927943013702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20"/>
        <v>63</v>
      </c>
      <c r="AM87" s="117">
        <f t="shared" si="10"/>
        <v>-37032408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949</v>
      </c>
      <c r="N88">
        <v>6.3E-3</v>
      </c>
      <c r="P88" s="115"/>
      <c r="Q88" s="170">
        <v>982939</v>
      </c>
      <c r="R88" s="169" t="s">
        <v>4658</v>
      </c>
      <c r="S88" s="169">
        <f>S87</f>
        <v>6</v>
      </c>
      <c r="T88" s="169" t="s">
        <v>4665</v>
      </c>
      <c r="U88" s="169">
        <v>122.3</v>
      </c>
      <c r="V88" s="99">
        <f t="shared" si="17"/>
        <v>124.23267506849315</v>
      </c>
      <c r="W88" s="32">
        <f t="shared" si="21"/>
        <v>126.71732856986301</v>
      </c>
      <c r="X88" s="32">
        <f t="shared" si="22"/>
        <v>129.20198207123289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60</v>
      </c>
      <c r="AM88" s="117">
        <f t="shared" si="10"/>
        <v>-54449340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61</v>
      </c>
      <c r="N89">
        <v>4.8999999999999998E-3</v>
      </c>
      <c r="P89" s="115"/>
      <c r="Q89" s="170">
        <v>1013762</v>
      </c>
      <c r="R89" s="169" t="s">
        <v>4658</v>
      </c>
      <c r="S89" s="169">
        <f>S88</f>
        <v>6</v>
      </c>
      <c r="T89" s="169" t="s">
        <v>4666</v>
      </c>
      <c r="U89" s="169">
        <v>217.1</v>
      </c>
      <c r="V89" s="99">
        <f t="shared" si="17"/>
        <v>220.53077479452054</v>
      </c>
      <c r="W89" s="32">
        <f t="shared" si="21"/>
        <v>224.94139029041096</v>
      </c>
      <c r="X89" s="32">
        <f t="shared" si="22"/>
        <v>229.35200578630136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20"/>
        <v>60</v>
      </c>
      <c r="AM89" s="117">
        <f t="shared" si="10"/>
        <v>147000000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6</v>
      </c>
      <c r="N90">
        <f>N88+N89</f>
        <v>1.12E-2</v>
      </c>
      <c r="O90" t="s">
        <v>25</v>
      </c>
      <c r="P90" t="s">
        <v>25</v>
      </c>
      <c r="Q90" s="170">
        <v>13858128</v>
      </c>
      <c r="R90" s="169" t="s">
        <v>4658</v>
      </c>
      <c r="S90" s="169">
        <f>S89</f>
        <v>6</v>
      </c>
      <c r="T90" s="169" t="s">
        <v>4667</v>
      </c>
      <c r="U90" s="169">
        <v>4500.5</v>
      </c>
      <c r="V90" s="99">
        <f t="shared" si="17"/>
        <v>4571.6202301369867</v>
      </c>
      <c r="W90" s="32">
        <f t="shared" si="21"/>
        <v>4663.0526347397263</v>
      </c>
      <c r="X90" s="32">
        <f t="shared" si="22"/>
        <v>4754.4850393424667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20"/>
        <v>59</v>
      </c>
      <c r="AM90" s="117">
        <f t="shared" si="10"/>
        <v>88500000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Q91" s="170">
        <v>4068640</v>
      </c>
      <c r="R91" s="169" t="s">
        <v>4671</v>
      </c>
      <c r="S91" s="169">
        <f>S90-1</f>
        <v>5</v>
      </c>
      <c r="T91" s="169" t="s">
        <v>4672</v>
      </c>
      <c r="U91" s="169">
        <v>3322.3</v>
      </c>
      <c r="V91" s="99">
        <f t="shared" si="17"/>
        <v>3372.2528284931514</v>
      </c>
      <c r="W91" s="32">
        <f t="shared" si="21"/>
        <v>3439.6978850630144</v>
      </c>
      <c r="X91" s="32">
        <f t="shared" si="22"/>
        <v>3507.1429416328774</v>
      </c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20"/>
        <v>58</v>
      </c>
      <c r="AM91" s="117">
        <f t="shared" si="10"/>
        <v>153584000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170">
        <v>12656982</v>
      </c>
      <c r="R92" s="169" t="s">
        <v>4671</v>
      </c>
      <c r="S92" s="169">
        <f>S91</f>
        <v>5</v>
      </c>
      <c r="T92" s="169" t="s">
        <v>4673</v>
      </c>
      <c r="U92" s="169">
        <v>5249.9</v>
      </c>
      <c r="V92" s="99">
        <f t="shared" si="17"/>
        <v>5328.8354827397261</v>
      </c>
      <c r="W92" s="32">
        <f t="shared" si="21"/>
        <v>5435.4121923945204</v>
      </c>
      <c r="X92" s="32">
        <f t="shared" si="22"/>
        <v>5541.9889020493156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20"/>
        <v>57</v>
      </c>
      <c r="AM92" s="117">
        <f t="shared" si="10"/>
        <v>35055000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Q93" s="170">
        <v>100905</v>
      </c>
      <c r="R93" s="169" t="s">
        <v>4674</v>
      </c>
      <c r="S93" s="169">
        <f>S92-1</f>
        <v>4</v>
      </c>
      <c r="T93" s="169" t="s">
        <v>4680</v>
      </c>
      <c r="U93" s="169">
        <v>372</v>
      </c>
      <c r="V93" s="99">
        <f t="shared" si="17"/>
        <v>377.30787945205486</v>
      </c>
      <c r="W93" s="32">
        <f t="shared" si="21"/>
        <v>384.85403704109598</v>
      </c>
      <c r="X93" s="32">
        <f t="shared" si="22"/>
        <v>392.40019463013709</v>
      </c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53</v>
      </c>
      <c r="AM93" s="117">
        <f t="shared" si="10"/>
        <v>742000000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s="197" t="s">
        <v>4549</v>
      </c>
      <c r="Q94" s="170">
        <v>48637534</v>
      </c>
      <c r="R94" s="169" t="s">
        <v>4674</v>
      </c>
      <c r="S94" s="169">
        <f>S93</f>
        <v>4</v>
      </c>
      <c r="T94" s="169" t="s">
        <v>4678</v>
      </c>
      <c r="U94" s="169">
        <v>5330</v>
      </c>
      <c r="V94" s="99">
        <f t="shared" si="17"/>
        <v>5406.0510684931514</v>
      </c>
      <c r="W94" s="32">
        <f t="shared" si="21"/>
        <v>5514.1720898630147</v>
      </c>
      <c r="X94" s="32">
        <f t="shared" si="22"/>
        <v>5622.2931112328779</v>
      </c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51</v>
      </c>
      <c r="AM94" s="117">
        <f t="shared" si="10"/>
        <v>66963000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4550</v>
      </c>
      <c r="Q95" s="170">
        <v>40048573</v>
      </c>
      <c r="R95" s="169" t="s">
        <v>4674</v>
      </c>
      <c r="S95" s="169">
        <f>S94</f>
        <v>4</v>
      </c>
      <c r="T95" s="169" t="s">
        <v>4679</v>
      </c>
      <c r="U95" s="169">
        <v>498.9</v>
      </c>
      <c r="V95" s="99">
        <f t="shared" si="17"/>
        <v>506.0185512328768</v>
      </c>
      <c r="W95" s="32">
        <f t="shared" si="21"/>
        <v>516.13892225753432</v>
      </c>
      <c r="X95" s="32">
        <f t="shared" si="22"/>
        <v>526.25929328219195</v>
      </c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39" si="23">AL96+AK95</f>
        <v>51</v>
      </c>
      <c r="AM95" s="117">
        <f t="shared" si="10"/>
        <v>115719000</v>
      </c>
      <c r="AN95" s="99"/>
    </row>
    <row r="96" spans="4:52">
      <c r="D96" s="32" t="s">
        <v>314</v>
      </c>
      <c r="E96" s="1">
        <v>140000</v>
      </c>
      <c r="M96" t="s">
        <v>4551</v>
      </c>
      <c r="Q96" s="170">
        <v>1000495</v>
      </c>
      <c r="R96" s="169" t="s">
        <v>4691</v>
      </c>
      <c r="S96" s="169">
        <f>S95-1</f>
        <v>3</v>
      </c>
      <c r="T96" s="169" t="s">
        <v>4693</v>
      </c>
      <c r="U96" s="169">
        <v>724.8</v>
      </c>
      <c r="V96" s="99">
        <f t="shared" si="17"/>
        <v>734.58579287671228</v>
      </c>
      <c r="W96" s="32">
        <f t="shared" si="21"/>
        <v>749.27750873424657</v>
      </c>
      <c r="X96" s="32">
        <f t="shared" si="22"/>
        <v>763.96922459178074</v>
      </c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3"/>
        <v>50</v>
      </c>
      <c r="AM96" s="117">
        <f t="shared" si="10"/>
        <v>37500000</v>
      </c>
      <c r="AN96" s="99"/>
    </row>
    <row r="97" spans="4:47">
      <c r="D97" s="2" t="s">
        <v>478</v>
      </c>
      <c r="E97" s="3">
        <v>1083333</v>
      </c>
      <c r="M97" t="s">
        <v>4397</v>
      </c>
      <c r="Q97" s="170">
        <v>37856769</v>
      </c>
      <c r="R97" s="169" t="s">
        <v>4691</v>
      </c>
      <c r="S97" s="169">
        <f>S96</f>
        <v>3</v>
      </c>
      <c r="T97" s="169" t="s">
        <v>4694</v>
      </c>
      <c r="U97" s="169">
        <v>5393.6</v>
      </c>
      <c r="V97" s="99">
        <f t="shared" si="17"/>
        <v>5466.4209884931515</v>
      </c>
      <c r="W97" s="32">
        <f t="shared" si="21"/>
        <v>5575.7494082630146</v>
      </c>
      <c r="X97" s="32">
        <f t="shared" si="22"/>
        <v>5685.0778280328777</v>
      </c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23"/>
        <v>46</v>
      </c>
      <c r="AM97" s="117">
        <f t="shared" si="10"/>
        <v>87400000</v>
      </c>
      <c r="AN97" s="99"/>
    </row>
    <row r="98" spans="4:47">
      <c r="D98" s="2"/>
      <c r="E98" s="3"/>
      <c r="H98" s="96"/>
      <c r="M98" t="s">
        <v>4416</v>
      </c>
      <c r="Q98" s="170">
        <v>296363</v>
      </c>
      <c r="R98" s="169" t="s">
        <v>4691</v>
      </c>
      <c r="S98" s="169">
        <f>S97</f>
        <v>3</v>
      </c>
      <c r="T98" s="169" t="s">
        <v>4695</v>
      </c>
      <c r="U98" s="169">
        <v>205</v>
      </c>
      <c r="V98" s="99">
        <f t="shared" si="17"/>
        <v>207.76778082191782</v>
      </c>
      <c r="W98" s="32">
        <f t="shared" si="21"/>
        <v>211.92313643835618</v>
      </c>
      <c r="X98" s="32">
        <f t="shared" si="22"/>
        <v>216.07849205479454</v>
      </c>
      <c r="AH98" s="99">
        <v>78</v>
      </c>
      <c r="AI98" s="113" t="s">
        <v>4538</v>
      </c>
      <c r="AJ98" s="113">
        <v>6400000</v>
      </c>
      <c r="AK98" s="99">
        <v>1</v>
      </c>
      <c r="AL98" s="99">
        <f t="shared" si="23"/>
        <v>43</v>
      </c>
      <c r="AM98" s="117">
        <f t="shared" si="10"/>
        <v>275200000</v>
      </c>
      <c r="AN98" s="99"/>
    </row>
    <row r="99" spans="4:47">
      <c r="D99" s="2"/>
      <c r="E99" s="3"/>
      <c r="M99" t="s">
        <v>4552</v>
      </c>
      <c r="Q99" s="170">
        <v>155151</v>
      </c>
      <c r="R99" s="169" t="s">
        <v>4707</v>
      </c>
      <c r="S99" s="169">
        <f>S98-3</f>
        <v>0</v>
      </c>
      <c r="T99" s="169" t="s">
        <v>4709</v>
      </c>
      <c r="U99" s="169">
        <v>5325.9</v>
      </c>
      <c r="V99" s="99">
        <f t="shared" si="17"/>
        <v>5385.55008</v>
      </c>
      <c r="W99" s="32">
        <f t="shared" si="21"/>
        <v>5493.2610815999997</v>
      </c>
      <c r="X99" s="32">
        <f t="shared" si="22"/>
        <v>5600.9720832000003</v>
      </c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23"/>
        <v>42</v>
      </c>
      <c r="AM99" s="117">
        <f t="shared" si="10"/>
        <v>210000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4401</v>
      </c>
      <c r="Q100" s="170">
        <v>109726</v>
      </c>
      <c r="R100" s="169" t="s">
        <v>4707</v>
      </c>
      <c r="S100" s="169">
        <f>S99</f>
        <v>0</v>
      </c>
      <c r="T100" s="169" t="s">
        <v>4710</v>
      </c>
      <c r="U100" s="169">
        <v>3900.7</v>
      </c>
      <c r="V100" s="99">
        <f t="shared" si="17"/>
        <v>3944.3878400000003</v>
      </c>
      <c r="W100" s="32">
        <f t="shared" si="21"/>
        <v>4023.2755968000006</v>
      </c>
      <c r="X100" s="32">
        <f t="shared" si="22"/>
        <v>4102.1633536000008</v>
      </c>
      <c r="Y100" t="s">
        <v>25</v>
      </c>
      <c r="AH100" s="99">
        <v>80</v>
      </c>
      <c r="AI100" s="113" t="s">
        <v>4570</v>
      </c>
      <c r="AJ100" s="113">
        <v>-1750148</v>
      </c>
      <c r="AK100" s="99">
        <v>1</v>
      </c>
      <c r="AL100" s="99">
        <f t="shared" si="23"/>
        <v>37</v>
      </c>
      <c r="AM100" s="117">
        <f t="shared" si="10"/>
        <v>-64755476</v>
      </c>
      <c r="AN100" s="99"/>
    </row>
    <row r="101" spans="4:47">
      <c r="D101" s="2" t="s">
        <v>328</v>
      </c>
      <c r="E101" s="3">
        <f>E100/30</f>
        <v>112777.76666666666</v>
      </c>
      <c r="M101" t="s">
        <v>4553</v>
      </c>
      <c r="Q101" s="170">
        <v>8938737</v>
      </c>
      <c r="R101" s="169" t="s">
        <v>4713</v>
      </c>
      <c r="S101" s="169">
        <f>S100-1</f>
        <v>-1</v>
      </c>
      <c r="T101" s="169" t="s">
        <v>4715</v>
      </c>
      <c r="U101" s="169">
        <v>5179.5</v>
      </c>
      <c r="V101" s="99">
        <f t="shared" si="17"/>
        <v>5233.5370849315077</v>
      </c>
      <c r="W101" s="32">
        <f t="shared" si="21"/>
        <v>5338.2078266301378</v>
      </c>
      <c r="X101" s="32">
        <f t="shared" si="22"/>
        <v>5442.8785683287679</v>
      </c>
      <c r="AH101" s="99">
        <v>81</v>
      </c>
      <c r="AI101" s="113" t="s">
        <v>4573</v>
      </c>
      <c r="AJ101" s="113">
        <v>400000</v>
      </c>
      <c r="AK101" s="99">
        <v>0</v>
      </c>
      <c r="AL101" s="99">
        <f t="shared" si="23"/>
        <v>36</v>
      </c>
      <c r="AM101" s="117">
        <f t="shared" si="10"/>
        <v>14400000</v>
      </c>
      <c r="AN101" s="99"/>
    </row>
    <row r="102" spans="4:47">
      <c r="M102" t="s">
        <v>4554</v>
      </c>
      <c r="P102" s="115"/>
      <c r="Q102" s="170">
        <v>2595417</v>
      </c>
      <c r="R102" s="169" t="s">
        <v>4723</v>
      </c>
      <c r="S102" s="169">
        <f>S101-1</f>
        <v>-2</v>
      </c>
      <c r="T102" s="169" t="s">
        <v>4724</v>
      </c>
      <c r="U102" s="169">
        <v>4803</v>
      </c>
      <c r="V102" s="99">
        <f t="shared" si="17"/>
        <v>4849.4246136986303</v>
      </c>
      <c r="W102" s="32">
        <f t="shared" si="21"/>
        <v>4946.4131059726033</v>
      </c>
      <c r="X102" s="32">
        <f t="shared" si="22"/>
        <v>5043.4015982465753</v>
      </c>
      <c r="AH102" s="99">
        <v>82</v>
      </c>
      <c r="AI102" s="113" t="s">
        <v>4573</v>
      </c>
      <c r="AJ102" s="113">
        <v>-2105421</v>
      </c>
      <c r="AK102" s="99">
        <v>1</v>
      </c>
      <c r="AL102" s="99">
        <f t="shared" si="23"/>
        <v>36</v>
      </c>
      <c r="AM102" s="117">
        <f t="shared" si="10"/>
        <v>-75795156</v>
      </c>
      <c r="AN102" s="99"/>
      <c r="AO102" t="s">
        <v>25</v>
      </c>
    </row>
    <row r="103" spans="4:47">
      <c r="P103" s="128"/>
      <c r="Q103" s="170">
        <v>2505816</v>
      </c>
      <c r="R103" s="169" t="s">
        <v>4723</v>
      </c>
      <c r="S103" s="169">
        <f>S102</f>
        <v>-2</v>
      </c>
      <c r="T103" s="169" t="s">
        <v>4725</v>
      </c>
      <c r="U103" s="169">
        <v>3723</v>
      </c>
      <c r="V103" s="99">
        <f t="shared" si="17"/>
        <v>3758.9856</v>
      </c>
      <c r="W103" s="32">
        <f t="shared" si="21"/>
        <v>3834.1653120000001</v>
      </c>
      <c r="X103" s="32">
        <f t="shared" si="22"/>
        <v>3909.3450240000002</v>
      </c>
      <c r="AH103" s="99">
        <v>83</v>
      </c>
      <c r="AI103" s="113" t="s">
        <v>4578</v>
      </c>
      <c r="AJ103" s="113">
        <v>-5527618</v>
      </c>
      <c r="AK103" s="99">
        <v>0</v>
      </c>
      <c r="AL103" s="99">
        <f t="shared" si="23"/>
        <v>35</v>
      </c>
      <c r="AM103" s="117">
        <f t="shared" si="10"/>
        <v>-193466630</v>
      </c>
      <c r="AN103" s="99"/>
    </row>
    <row r="104" spans="4:47">
      <c r="P104" s="128"/>
      <c r="Q104" s="170">
        <v>183283</v>
      </c>
      <c r="R104" s="217" t="s">
        <v>4727</v>
      </c>
      <c r="S104" s="217">
        <f>S103-1</f>
        <v>-3</v>
      </c>
      <c r="T104" s="217" t="s">
        <v>4746</v>
      </c>
      <c r="U104" s="217">
        <v>347.5</v>
      </c>
      <c r="V104" s="99">
        <f t="shared" si="17"/>
        <v>350.59227397260281</v>
      </c>
      <c r="W104" s="32">
        <f t="shared" si="21"/>
        <v>357.60411945205487</v>
      </c>
      <c r="X104" s="32">
        <f t="shared" si="22"/>
        <v>364.61596493150694</v>
      </c>
      <c r="AH104" s="99">
        <v>84</v>
      </c>
      <c r="AI104" s="113" t="s">
        <v>4578</v>
      </c>
      <c r="AJ104" s="113">
        <v>3900000</v>
      </c>
      <c r="AK104" s="99">
        <v>3</v>
      </c>
      <c r="AL104" s="99">
        <f t="shared" si="23"/>
        <v>35</v>
      </c>
      <c r="AM104" s="117">
        <f t="shared" si="10"/>
        <v>136500000</v>
      </c>
      <c r="AN104" s="99"/>
    </row>
    <row r="105" spans="4:47">
      <c r="H105" s="99" t="s">
        <v>4751</v>
      </c>
      <c r="I105" s="99" t="s">
        <v>4750</v>
      </c>
      <c r="J105" s="32" t="s">
        <v>4555</v>
      </c>
      <c r="K105" s="169" t="s">
        <v>4731</v>
      </c>
      <c r="L105" s="32" t="s">
        <v>4733</v>
      </c>
      <c r="M105" s="32" t="s">
        <v>4698</v>
      </c>
      <c r="N105" s="169" t="s">
        <v>4699</v>
      </c>
      <c r="P105" s="115"/>
      <c r="Q105" s="170">
        <v>177438</v>
      </c>
      <c r="R105" s="217" t="s">
        <v>4727</v>
      </c>
      <c r="S105" s="217">
        <f t="shared" ref="S105:S111" si="24">S104</f>
        <v>-3</v>
      </c>
      <c r="T105" s="217" t="s">
        <v>4738</v>
      </c>
      <c r="U105" s="217">
        <v>207.3</v>
      </c>
      <c r="V105" s="99">
        <f t="shared" si="17"/>
        <v>209.14468602739731</v>
      </c>
      <c r="W105" s="32">
        <f t="shared" si="21"/>
        <v>213.32757974794526</v>
      </c>
      <c r="X105" s="32">
        <f t="shared" si="22"/>
        <v>217.51047346849322</v>
      </c>
      <c r="Y105" t="s">
        <v>25</v>
      </c>
      <c r="AH105" s="99">
        <v>85</v>
      </c>
      <c r="AI105" s="113" t="s">
        <v>4579</v>
      </c>
      <c r="AJ105" s="113">
        <v>-3969754</v>
      </c>
      <c r="AK105" s="99">
        <v>1</v>
      </c>
      <c r="AL105" s="99">
        <f t="shared" si="23"/>
        <v>32</v>
      </c>
      <c r="AM105" s="117">
        <f t="shared" si="10"/>
        <v>-127032128</v>
      </c>
      <c r="AN105" s="99"/>
    </row>
    <row r="106" spans="4:47">
      <c r="H106" s="99" t="s">
        <v>4755</v>
      </c>
      <c r="I106" s="99" t="s">
        <v>4754</v>
      </c>
      <c r="J106" s="32" t="s">
        <v>4244</v>
      </c>
      <c r="K106" s="169">
        <v>60</v>
      </c>
      <c r="L106" s="1">
        <f>K106*$L$114</f>
        <v>265200000</v>
      </c>
      <c r="M106" s="1">
        <f>N21+N29+N58</f>
        <v>231377579.30000001</v>
      </c>
      <c r="N106" s="113">
        <f t="shared" ref="N106:N112" si="25">L106-M106</f>
        <v>33822420.699999988</v>
      </c>
      <c r="Q106" s="170">
        <v>559461</v>
      </c>
      <c r="R106" s="217" t="s">
        <v>4727</v>
      </c>
      <c r="S106" s="217">
        <f t="shared" si="24"/>
        <v>-3</v>
      </c>
      <c r="T106" s="217" t="s">
        <v>4739</v>
      </c>
      <c r="U106" s="217">
        <v>508.1</v>
      </c>
      <c r="V106" s="99">
        <f t="shared" si="17"/>
        <v>512.62139397260285</v>
      </c>
      <c r="W106" s="32">
        <f t="shared" si="21"/>
        <v>522.8738218520549</v>
      </c>
      <c r="X106" s="32">
        <f t="shared" si="22"/>
        <v>533.12624973150696</v>
      </c>
      <c r="AH106" s="99">
        <v>86</v>
      </c>
      <c r="AI106" s="113" t="s">
        <v>4592</v>
      </c>
      <c r="AJ106" s="113">
        <v>-25574455</v>
      </c>
      <c r="AK106" s="99">
        <v>0</v>
      </c>
      <c r="AL106" s="99">
        <f t="shared" si="23"/>
        <v>31</v>
      </c>
      <c r="AM106" s="117">
        <f t="shared" si="10"/>
        <v>-792808105</v>
      </c>
      <c r="AN106" s="99"/>
      <c r="AP106" t="s">
        <v>25</v>
      </c>
    </row>
    <row r="107" spans="4:47">
      <c r="H107" s="99" t="s">
        <v>4757</v>
      </c>
      <c r="I107" s="99" t="s">
        <v>4756</v>
      </c>
      <c r="J107" s="32" t="s">
        <v>4401</v>
      </c>
      <c r="K107" s="169">
        <v>30</v>
      </c>
      <c r="L107" s="1">
        <f t="shared" ref="L107:L112" si="26">K107*$L$114</f>
        <v>132600000</v>
      </c>
      <c r="M107" s="1">
        <f>N24+N45+N27</f>
        <v>111942847.50000001</v>
      </c>
      <c r="N107" s="113">
        <f t="shared" si="25"/>
        <v>20657152.499999985</v>
      </c>
      <c r="Q107" s="170">
        <v>169080</v>
      </c>
      <c r="R107" s="217" t="s">
        <v>4727</v>
      </c>
      <c r="S107" s="217">
        <f t="shared" si="24"/>
        <v>-3</v>
      </c>
      <c r="T107" s="217" t="s">
        <v>4740</v>
      </c>
      <c r="U107" s="217">
        <v>168.3</v>
      </c>
      <c r="V107" s="99">
        <f t="shared" si="17"/>
        <v>169.79763945205482</v>
      </c>
      <c r="W107" s="32">
        <f t="shared" si="21"/>
        <v>173.19359224109593</v>
      </c>
      <c r="X107" s="32">
        <f t="shared" si="22"/>
        <v>176.58954503013703</v>
      </c>
      <c r="AH107" s="99">
        <v>87</v>
      </c>
      <c r="AI107" s="113" t="s">
        <v>4592</v>
      </c>
      <c r="AJ107" s="113">
        <v>4000000</v>
      </c>
      <c r="AK107" s="99">
        <v>1</v>
      </c>
      <c r="AL107" s="99">
        <f t="shared" si="23"/>
        <v>31</v>
      </c>
      <c r="AM107" s="117">
        <f t="shared" si="10"/>
        <v>124000000</v>
      </c>
      <c r="AN107" s="99"/>
    </row>
    <row r="108" spans="4:47">
      <c r="H108" s="99" t="s">
        <v>3882</v>
      </c>
      <c r="I108" s="99" t="s">
        <v>4758</v>
      </c>
      <c r="J108" s="32" t="s">
        <v>4397</v>
      </c>
      <c r="K108" s="169">
        <v>30</v>
      </c>
      <c r="L108" s="1">
        <f t="shared" si="26"/>
        <v>132600000</v>
      </c>
      <c r="M108" s="1">
        <f>N42</f>
        <v>36704000</v>
      </c>
      <c r="N108" s="113">
        <f t="shared" si="25"/>
        <v>95896000</v>
      </c>
      <c r="Q108" s="170">
        <v>1403013</v>
      </c>
      <c r="R108" s="217" t="s">
        <v>4727</v>
      </c>
      <c r="S108" s="217">
        <f t="shared" si="24"/>
        <v>-3</v>
      </c>
      <c r="T108" s="217" t="s">
        <v>4741</v>
      </c>
      <c r="U108" s="217">
        <v>824.4</v>
      </c>
      <c r="V108" s="99">
        <f t="shared" si="17"/>
        <v>831.73603068493162</v>
      </c>
      <c r="W108" s="32">
        <f t="shared" si="21"/>
        <v>848.37075129863024</v>
      </c>
      <c r="X108" s="32">
        <f t="shared" si="22"/>
        <v>865.00547191232886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3"/>
        <v>30</v>
      </c>
      <c r="AM108" s="117">
        <f t="shared" si="10"/>
        <v>-150000000</v>
      </c>
      <c r="AN108" s="99"/>
    </row>
    <row r="109" spans="4:47">
      <c r="H109" s="99" t="s">
        <v>4753</v>
      </c>
      <c r="I109" s="99" t="s">
        <v>4752</v>
      </c>
      <c r="J109" s="32" t="s">
        <v>4416</v>
      </c>
      <c r="K109" s="169">
        <v>30</v>
      </c>
      <c r="L109" s="1">
        <f t="shared" si="26"/>
        <v>132600000</v>
      </c>
      <c r="M109" s="1">
        <f>N47</f>
        <v>41806748.799999997</v>
      </c>
      <c r="N109" s="113">
        <f t="shared" si="25"/>
        <v>90793251.200000003</v>
      </c>
      <c r="Q109" s="170">
        <v>9376000</v>
      </c>
      <c r="R109" s="217" t="s">
        <v>4727</v>
      </c>
      <c r="S109" s="217">
        <f t="shared" si="24"/>
        <v>-3</v>
      </c>
      <c r="T109" s="217" t="s">
        <v>4742</v>
      </c>
      <c r="U109" s="217">
        <v>3184.1</v>
      </c>
      <c r="V109" s="99">
        <f t="shared" si="17"/>
        <v>3212.4341282191785</v>
      </c>
      <c r="W109" s="32">
        <f t="shared" si="21"/>
        <v>3276.6828107835622</v>
      </c>
      <c r="X109" s="32">
        <f t="shared" si="22"/>
        <v>3340.9314933479459</v>
      </c>
      <c r="AD109" s="96"/>
      <c r="AE109"/>
      <c r="AF109"/>
      <c r="AH109" s="99">
        <v>89</v>
      </c>
      <c r="AI109" s="113" t="s">
        <v>4601</v>
      </c>
      <c r="AJ109" s="113">
        <v>10000000</v>
      </c>
      <c r="AK109" s="99">
        <v>4</v>
      </c>
      <c r="AL109" s="99">
        <f t="shared" si="23"/>
        <v>28</v>
      </c>
      <c r="AM109" s="117">
        <f t="shared" si="10"/>
        <v>280000000</v>
      </c>
      <c r="AN109" s="99"/>
    </row>
    <row r="110" spans="4:47">
      <c r="H110" s="99" t="s">
        <v>4759</v>
      </c>
      <c r="I110" s="99" t="s">
        <v>4758</v>
      </c>
      <c r="J110" s="32" t="s">
        <v>4551</v>
      </c>
      <c r="K110" s="169">
        <v>19</v>
      </c>
      <c r="L110" s="1">
        <f t="shared" si="26"/>
        <v>83980000</v>
      </c>
      <c r="M110" s="1">
        <f>N50</f>
        <v>13734878</v>
      </c>
      <c r="N110" s="113">
        <f t="shared" si="25"/>
        <v>70245122</v>
      </c>
      <c r="Q110" s="170">
        <v>128675</v>
      </c>
      <c r="R110" s="217" t="s">
        <v>4727</v>
      </c>
      <c r="S110" s="217">
        <f t="shared" si="24"/>
        <v>-3</v>
      </c>
      <c r="T110" s="217" t="s">
        <v>4743</v>
      </c>
      <c r="U110" s="217">
        <v>699.9</v>
      </c>
      <c r="V110" s="99">
        <f t="shared" si="17"/>
        <v>706.1281512328768</v>
      </c>
      <c r="W110" s="32">
        <f t="shared" si="21"/>
        <v>720.25071425753436</v>
      </c>
      <c r="X110" s="32">
        <f t="shared" si="22"/>
        <v>734.37327728219191</v>
      </c>
      <c r="AH110" s="99">
        <v>90</v>
      </c>
      <c r="AI110" s="113" t="s">
        <v>4603</v>
      </c>
      <c r="AJ110" s="113">
        <v>-5241937</v>
      </c>
      <c r="AK110" s="99">
        <v>0</v>
      </c>
      <c r="AL110" s="99">
        <f t="shared" si="23"/>
        <v>24</v>
      </c>
      <c r="AM110" s="117">
        <f t="shared" si="10"/>
        <v>-125806488</v>
      </c>
      <c r="AN110" s="99"/>
    </row>
    <row r="111" spans="4:47">
      <c r="H111" s="99" t="s">
        <v>4760</v>
      </c>
      <c r="I111" s="99" t="s">
        <v>4761</v>
      </c>
      <c r="J111" s="32" t="s">
        <v>4552</v>
      </c>
      <c r="K111" s="169">
        <v>19</v>
      </c>
      <c r="L111" s="1">
        <f t="shared" si="26"/>
        <v>83980000</v>
      </c>
      <c r="M111" s="1">
        <f>N48</f>
        <v>2686043.6</v>
      </c>
      <c r="N111" s="113">
        <f t="shared" si="25"/>
        <v>81293956.400000006</v>
      </c>
      <c r="Q111" s="170">
        <v>101201</v>
      </c>
      <c r="R111" s="217" t="s">
        <v>4727</v>
      </c>
      <c r="S111" s="217">
        <f t="shared" si="24"/>
        <v>-3</v>
      </c>
      <c r="T111" s="217" t="s">
        <v>4744</v>
      </c>
      <c r="U111" s="217">
        <v>290.3</v>
      </c>
      <c r="V111" s="99">
        <f t="shared" si="17"/>
        <v>292.88327232876719</v>
      </c>
      <c r="W111" s="32">
        <f t="shared" si="21"/>
        <v>298.74093777534256</v>
      </c>
      <c r="X111" s="32">
        <f t="shared" si="22"/>
        <v>304.59860322191787</v>
      </c>
      <c r="AH111" s="99">
        <v>91</v>
      </c>
      <c r="AI111" s="113" t="s">
        <v>4603</v>
      </c>
      <c r="AJ111" s="113">
        <v>21900000</v>
      </c>
      <c r="AK111" s="99">
        <v>2</v>
      </c>
      <c r="AL111" s="99">
        <f t="shared" si="23"/>
        <v>24</v>
      </c>
      <c r="AM111" s="117">
        <f t="shared" si="10"/>
        <v>525600000</v>
      </c>
      <c r="AN111" s="99"/>
      <c r="AP111" t="s">
        <v>25</v>
      </c>
      <c r="AR111" s="96"/>
      <c r="AS111" s="96"/>
      <c r="AT111"/>
      <c r="AU111"/>
    </row>
    <row r="112" spans="4:47">
      <c r="H112" s="99"/>
      <c r="I112" s="99"/>
      <c r="J112" s="32" t="s">
        <v>4712</v>
      </c>
      <c r="K112" s="169">
        <v>5</v>
      </c>
      <c r="L112" s="1">
        <f t="shared" si="26"/>
        <v>22100000</v>
      </c>
      <c r="M112" s="1">
        <f>N22+N23+N28+N49+N53+N43+N44+N51+N54+N52+N46+N56+N57</f>
        <v>22212755.800000001</v>
      </c>
      <c r="N112" s="113">
        <f t="shared" si="25"/>
        <v>-112755.80000000075</v>
      </c>
      <c r="Q112" s="170">
        <v>13100555</v>
      </c>
      <c r="R112" s="217" t="s">
        <v>4762</v>
      </c>
      <c r="S112" s="217">
        <f>S111-1</f>
        <v>-4</v>
      </c>
      <c r="T112" s="217" t="s">
        <v>4766</v>
      </c>
      <c r="U112" s="217">
        <v>3180.5</v>
      </c>
      <c r="V112" s="99">
        <f t="shared" si="17"/>
        <v>3206.3622575342465</v>
      </c>
      <c r="W112" s="32">
        <f t="shared" si="21"/>
        <v>3270.4895026849317</v>
      </c>
      <c r="X112" s="32">
        <f t="shared" si="22"/>
        <v>3334.6167478356165</v>
      </c>
      <c r="Y112" t="s">
        <v>25</v>
      </c>
      <c r="AH112" s="99">
        <v>92</v>
      </c>
      <c r="AI112" s="113" t="s">
        <v>4614</v>
      </c>
      <c r="AJ112" s="113">
        <v>-15000000</v>
      </c>
      <c r="AK112" s="99">
        <v>0</v>
      </c>
      <c r="AL112" s="99">
        <f t="shared" si="23"/>
        <v>22</v>
      </c>
      <c r="AM112" s="117">
        <f t="shared" si="10"/>
        <v>-330000000</v>
      </c>
      <c r="AN112" s="99"/>
      <c r="AO112" t="s">
        <v>25</v>
      </c>
    </row>
    <row r="113" spans="8:43">
      <c r="H113" s="99"/>
      <c r="I113" s="99"/>
      <c r="J113" s="169" t="s">
        <v>4734</v>
      </c>
      <c r="K113" s="169">
        <f>SUM(K106:K112)</f>
        <v>193</v>
      </c>
      <c r="L113" s="169"/>
      <c r="M113" s="169"/>
      <c r="N113" s="170"/>
      <c r="Q113" s="170">
        <v>622942</v>
      </c>
      <c r="R113" s="217" t="s">
        <v>4762</v>
      </c>
      <c r="S113" s="217">
        <f>S112</f>
        <v>-4</v>
      </c>
      <c r="T113" s="217" t="s">
        <v>4767</v>
      </c>
      <c r="U113" s="217">
        <v>503.3</v>
      </c>
      <c r="V113" s="99">
        <f t="shared" si="17"/>
        <v>507.39258739726029</v>
      </c>
      <c r="W113" s="32">
        <f t="shared" si="21"/>
        <v>517.54043914520548</v>
      </c>
      <c r="X113" s="32">
        <f t="shared" si="22"/>
        <v>527.68829089315068</v>
      </c>
      <c r="AH113" s="99">
        <v>93</v>
      </c>
      <c r="AI113" s="113" t="s">
        <v>4614</v>
      </c>
      <c r="AJ113" s="113">
        <v>3000000</v>
      </c>
      <c r="AK113" s="99">
        <v>1</v>
      </c>
      <c r="AL113" s="99">
        <f t="shared" si="23"/>
        <v>22</v>
      </c>
      <c r="AM113" s="117">
        <f t="shared" si="10"/>
        <v>66000000</v>
      </c>
      <c r="AN113" s="99"/>
    </row>
    <row r="114" spans="8:43">
      <c r="H114" s="99"/>
      <c r="I114" s="99"/>
      <c r="J114" s="169"/>
      <c r="K114" s="169">
        <v>79</v>
      </c>
      <c r="L114" s="39">
        <v>4420000</v>
      </c>
      <c r="M114" s="1">
        <f>K114*L114</f>
        <v>349180000</v>
      </c>
      <c r="N114" s="113">
        <f>SUM(N106:N112)-M114</f>
        <v>43415146.99999994</v>
      </c>
      <c r="Q114" s="170"/>
      <c r="R114" s="169"/>
      <c r="S114" s="169"/>
      <c r="T114" s="169"/>
      <c r="U114" s="169"/>
      <c r="V114" s="99"/>
      <c r="W114" s="32"/>
      <c r="X114" s="32"/>
      <c r="AH114" s="99">
        <v>94</v>
      </c>
      <c r="AI114" s="113" t="s">
        <v>4618</v>
      </c>
      <c r="AJ114" s="113">
        <v>-2103736</v>
      </c>
      <c r="AK114" s="99">
        <v>0</v>
      </c>
      <c r="AL114" s="99">
        <f t="shared" si="23"/>
        <v>21</v>
      </c>
      <c r="AM114" s="117">
        <f t="shared" si="10"/>
        <v>-44178456</v>
      </c>
      <c r="AN114" s="99"/>
    </row>
    <row r="115" spans="8:43" ht="30">
      <c r="H115" s="99"/>
      <c r="I115" s="99"/>
      <c r="J115" s="169"/>
      <c r="K115" s="218" t="s">
        <v>4748</v>
      </c>
      <c r="L115" s="169" t="s">
        <v>4254</v>
      </c>
      <c r="M115" s="169" t="s">
        <v>4721</v>
      </c>
      <c r="N115" s="169" t="s">
        <v>4722</v>
      </c>
      <c r="Q115" s="170"/>
      <c r="R115" s="169"/>
      <c r="S115" s="169"/>
      <c r="T115" s="169"/>
      <c r="U115" s="169"/>
      <c r="V115" s="99"/>
      <c r="W115" s="32"/>
      <c r="X115" s="32"/>
      <c r="Y115" t="s">
        <v>25</v>
      </c>
      <c r="AH115" s="99">
        <v>95</v>
      </c>
      <c r="AI115" s="113" t="s">
        <v>4618</v>
      </c>
      <c r="AJ115" s="113">
        <v>220000</v>
      </c>
      <c r="AK115" s="99">
        <v>3</v>
      </c>
      <c r="AL115" s="99">
        <f t="shared" si="23"/>
        <v>21</v>
      </c>
      <c r="AM115" s="117">
        <f t="shared" si="10"/>
        <v>4620000</v>
      </c>
      <c r="AN115" s="99"/>
      <c r="AQ115" t="s">
        <v>25</v>
      </c>
    </row>
    <row r="116" spans="8:43">
      <c r="H116" s="99"/>
      <c r="I116" s="99"/>
      <c r="J116" s="221" t="s">
        <v>4732</v>
      </c>
      <c r="K116" s="221"/>
      <c r="L116" s="221"/>
      <c r="M116" s="221"/>
      <c r="N116" s="221"/>
      <c r="Q116" s="170"/>
      <c r="R116" s="169"/>
      <c r="S116" s="169"/>
      <c r="T116" s="169"/>
      <c r="U116" s="169"/>
      <c r="V116" s="99"/>
      <c r="W116" s="32"/>
      <c r="X116" s="32"/>
      <c r="AH116" s="99">
        <v>96</v>
      </c>
      <c r="AI116" s="113" t="s">
        <v>4628</v>
      </c>
      <c r="AJ116" s="113">
        <v>4000000</v>
      </c>
      <c r="AK116" s="99">
        <v>1</v>
      </c>
      <c r="AL116" s="99">
        <f t="shared" si="23"/>
        <v>18</v>
      </c>
      <c r="AM116" s="117">
        <f t="shared" si="10"/>
        <v>72000000</v>
      </c>
      <c r="AN116" s="99"/>
    </row>
    <row r="117" spans="8:43">
      <c r="M117" t="s">
        <v>25</v>
      </c>
      <c r="Q117" s="170"/>
      <c r="R117" s="169"/>
      <c r="S117" s="169"/>
      <c r="T117" s="169"/>
      <c r="U117" s="169"/>
      <c r="V117" s="99">
        <f>U117*(1+$N$90+$Q$15*S117/36500)</f>
        <v>0</v>
      </c>
      <c r="W117" s="32">
        <f t="shared" si="21"/>
        <v>0</v>
      </c>
      <c r="X117" s="32">
        <f t="shared" si="22"/>
        <v>0</v>
      </c>
      <c r="AH117" s="99">
        <v>97</v>
      </c>
      <c r="AI117" s="113" t="s">
        <v>4634</v>
      </c>
      <c r="AJ117" s="113">
        <v>-9000000</v>
      </c>
      <c r="AK117" s="99">
        <v>0</v>
      </c>
      <c r="AL117" s="99">
        <f t="shared" si="23"/>
        <v>17</v>
      </c>
      <c r="AM117" s="117">
        <f t="shared" si="10"/>
        <v>-153000000</v>
      </c>
      <c r="AN117" s="99"/>
      <c r="AP117" t="s">
        <v>25</v>
      </c>
    </row>
    <row r="118" spans="8:43">
      <c r="Q118" s="113">
        <f>SUM(N42:N59)-SUM(Q58:Q117)</f>
        <v>-29922872.100000024</v>
      </c>
      <c r="R118" s="112"/>
      <c r="S118" s="112"/>
      <c r="T118" s="112"/>
      <c r="U118" s="169"/>
      <c r="V118" s="99" t="s">
        <v>25</v>
      </c>
      <c r="W118" s="32"/>
      <c r="X118" s="32"/>
      <c r="AH118" s="99">
        <v>98</v>
      </c>
      <c r="AI118" s="113" t="s">
        <v>4634</v>
      </c>
      <c r="AJ118" s="113">
        <v>13900000</v>
      </c>
      <c r="AK118" s="99">
        <v>2</v>
      </c>
      <c r="AL118" s="99">
        <f t="shared" si="23"/>
        <v>17</v>
      </c>
      <c r="AM118" s="117">
        <f t="shared" si="10"/>
        <v>236300000</v>
      </c>
      <c r="AN118" s="99"/>
    </row>
    <row r="119" spans="8:43">
      <c r="K119" s="169" t="s">
        <v>4555</v>
      </c>
      <c r="L119" s="169" t="s">
        <v>4556</v>
      </c>
      <c r="M119" s="169" t="s">
        <v>4443</v>
      </c>
      <c r="N119" s="56" t="s">
        <v>190</v>
      </c>
      <c r="Q119" s="26"/>
      <c r="R119" s="183"/>
      <c r="S119" s="183"/>
      <c r="T119" t="s">
        <v>25</v>
      </c>
      <c r="U119" s="96" t="s">
        <v>25</v>
      </c>
      <c r="V119" s="96" t="s">
        <v>25</v>
      </c>
      <c r="AH119" s="99">
        <v>99</v>
      </c>
      <c r="AI119" s="113" t="s">
        <v>4644</v>
      </c>
      <c r="AJ119" s="113">
        <v>-8127577</v>
      </c>
      <c r="AK119" s="99">
        <v>1</v>
      </c>
      <c r="AL119" s="99">
        <f t="shared" si="23"/>
        <v>15</v>
      </c>
      <c r="AM119" s="117">
        <f t="shared" si="10"/>
        <v>-121913655</v>
      </c>
      <c r="AN119" s="99"/>
      <c r="AO119" t="s">
        <v>25</v>
      </c>
    </row>
    <row r="120" spans="8:43">
      <c r="K120" s="169" t="s">
        <v>4244</v>
      </c>
      <c r="L120" s="170">
        <v>1100000</v>
      </c>
      <c r="M120" s="170">
        <v>1637000</v>
      </c>
      <c r="N120" s="169">
        <f t="shared" ref="N120:N128" si="27">(M120-L120)*100/L120</f>
        <v>48.81818181818182</v>
      </c>
      <c r="P120" s="114"/>
      <c r="R120" s="32" t="s">
        <v>4591</v>
      </c>
      <c r="S120" s="32" t="s">
        <v>950</v>
      </c>
      <c r="T120" t="s">
        <v>25</v>
      </c>
      <c r="U120" s="96" t="s">
        <v>25</v>
      </c>
      <c r="V120" s="96" t="s">
        <v>25</v>
      </c>
      <c r="W120" s="96" t="s">
        <v>25</v>
      </c>
      <c r="X120" s="122" t="s">
        <v>25</v>
      </c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23"/>
        <v>14</v>
      </c>
      <c r="AM120" s="117">
        <f t="shared" si="10"/>
        <v>221095686</v>
      </c>
      <c r="AN120" s="99"/>
      <c r="AO120" t="s">
        <v>25</v>
      </c>
      <c r="AP120" t="s">
        <v>25</v>
      </c>
    </row>
    <row r="121" spans="8:43">
      <c r="K121" s="5" t="s">
        <v>4550</v>
      </c>
      <c r="L121" s="170">
        <v>1100000</v>
      </c>
      <c r="M121" s="170">
        <v>4748000</v>
      </c>
      <c r="N121" s="169">
        <f t="shared" si="27"/>
        <v>331.63636363636363</v>
      </c>
      <c r="R121" s="32">
        <v>20</v>
      </c>
      <c r="S121" s="170">
        <v>7991977</v>
      </c>
      <c r="U121" s="96" t="s">
        <v>25</v>
      </c>
      <c r="V121" s="122" t="s">
        <v>25</v>
      </c>
      <c r="X121" t="s">
        <v>25</v>
      </c>
      <c r="AH121" s="99">
        <v>101</v>
      </c>
      <c r="AI121" s="113" t="s">
        <v>4650</v>
      </c>
      <c r="AJ121" s="113">
        <v>8800000</v>
      </c>
      <c r="AK121" s="99">
        <v>0</v>
      </c>
      <c r="AL121" s="99">
        <f t="shared" ref="AL121:AL125" si="28">AL122+AK121</f>
        <v>11</v>
      </c>
      <c r="AM121" s="117">
        <f t="shared" ref="AM121:AM138" si="29">AJ121*AL121</f>
        <v>96800000</v>
      </c>
      <c r="AN121" s="99"/>
      <c r="AP121" t="s">
        <v>25</v>
      </c>
    </row>
    <row r="122" spans="8:43" ht="45">
      <c r="K122" s="5" t="s">
        <v>4551</v>
      </c>
      <c r="L122" s="170">
        <v>1100000</v>
      </c>
      <c r="M122" s="170">
        <v>5137000</v>
      </c>
      <c r="N122" s="169">
        <f t="shared" si="27"/>
        <v>367</v>
      </c>
      <c r="Q122" t="s">
        <v>25</v>
      </c>
      <c r="R122" s="32">
        <v>10</v>
      </c>
      <c r="S122" s="1">
        <f>S121*R122/R121</f>
        <v>3995988.5</v>
      </c>
      <c r="U122" s="96" t="s">
        <v>25</v>
      </c>
      <c r="V122" s="122" t="s">
        <v>25</v>
      </c>
      <c r="W122" s="96" t="s">
        <v>25</v>
      </c>
      <c r="X122" t="s">
        <v>25</v>
      </c>
      <c r="Y122" t="s">
        <v>25</v>
      </c>
      <c r="AH122" s="121">
        <v>102</v>
      </c>
      <c r="AI122" s="79" t="s">
        <v>4650</v>
      </c>
      <c r="AJ122" s="79">
        <v>13071612</v>
      </c>
      <c r="AK122" s="121">
        <v>1</v>
      </c>
      <c r="AL122" s="121">
        <f t="shared" si="28"/>
        <v>11</v>
      </c>
      <c r="AM122" s="79">
        <f t="shared" si="29"/>
        <v>143787732</v>
      </c>
      <c r="AN122" s="212" t="s">
        <v>4655</v>
      </c>
      <c r="AQ122" t="s">
        <v>25</v>
      </c>
    </row>
    <row r="123" spans="8:43">
      <c r="K123" s="19" t="s">
        <v>4397</v>
      </c>
      <c r="L123" s="170">
        <v>1100000</v>
      </c>
      <c r="M123" s="170">
        <v>4300000</v>
      </c>
      <c r="N123" s="169">
        <f t="shared" si="27"/>
        <v>290.90909090909093</v>
      </c>
      <c r="R123" s="32">
        <f>R121-R122</f>
        <v>10</v>
      </c>
      <c r="S123" s="1">
        <f>R123*S121/R121</f>
        <v>3995988.5</v>
      </c>
      <c r="V123" s="96"/>
      <c r="W123"/>
      <c r="AH123" s="89">
        <v>103</v>
      </c>
      <c r="AI123" s="90" t="s">
        <v>4658</v>
      </c>
      <c r="AJ123" s="90">
        <v>16727037</v>
      </c>
      <c r="AK123" s="89">
        <v>0</v>
      </c>
      <c r="AL123" s="89">
        <f t="shared" si="28"/>
        <v>10</v>
      </c>
      <c r="AM123" s="90">
        <f t="shared" si="29"/>
        <v>167270370</v>
      </c>
      <c r="AN123" s="89" t="s">
        <v>4675</v>
      </c>
    </row>
    <row r="124" spans="8:43">
      <c r="K124" s="5" t="s">
        <v>4416</v>
      </c>
      <c r="L124" s="170">
        <v>1100000</v>
      </c>
      <c r="M124" s="170">
        <v>3191000</v>
      </c>
      <c r="N124" s="169">
        <f t="shared" si="27"/>
        <v>190.09090909090909</v>
      </c>
      <c r="P124" s="114"/>
      <c r="V124" s="96"/>
      <c r="W124"/>
      <c r="Y124" t="s">
        <v>25</v>
      </c>
      <c r="AH124" s="99">
        <v>104</v>
      </c>
      <c r="AI124" s="113" t="s">
        <v>4658</v>
      </c>
      <c r="AJ124" s="113">
        <v>12000000</v>
      </c>
      <c r="AK124" s="99">
        <v>1</v>
      </c>
      <c r="AL124" s="99">
        <f t="shared" si="28"/>
        <v>10</v>
      </c>
      <c r="AM124" s="117">
        <f t="shared" si="29"/>
        <v>120000000</v>
      </c>
      <c r="AN124" s="99" t="s">
        <v>4676</v>
      </c>
    </row>
    <row r="125" spans="8:43">
      <c r="K125" s="5" t="s">
        <v>4552</v>
      </c>
      <c r="L125" s="170">
        <v>1100000</v>
      </c>
      <c r="M125" s="170">
        <v>5623000</v>
      </c>
      <c r="N125" s="169">
        <f t="shared" si="27"/>
        <v>411.18181818181819</v>
      </c>
      <c r="Q125" s="99" t="s">
        <v>4470</v>
      </c>
      <c r="R125" s="99" t="s">
        <v>4472</v>
      </c>
      <c r="S125" s="99"/>
      <c r="T125" s="99" t="s">
        <v>4473</v>
      </c>
      <c r="U125" s="99"/>
      <c r="V125" s="99"/>
      <c r="W125" s="99" t="s">
        <v>4597</v>
      </c>
      <c r="AH125" s="89">
        <v>105</v>
      </c>
      <c r="AI125" s="90" t="s">
        <v>4566</v>
      </c>
      <c r="AJ125" s="90">
        <v>88697667</v>
      </c>
      <c r="AK125" s="89">
        <v>1</v>
      </c>
      <c r="AL125" s="89">
        <f t="shared" si="28"/>
        <v>9</v>
      </c>
      <c r="AM125" s="90">
        <f t="shared" si="29"/>
        <v>798279003</v>
      </c>
      <c r="AN125" s="89" t="s">
        <v>4677</v>
      </c>
      <c r="AP125" t="s">
        <v>25</v>
      </c>
    </row>
    <row r="126" spans="8:43">
      <c r="K126" s="19" t="s">
        <v>4401</v>
      </c>
      <c r="L126" s="170">
        <v>1100000</v>
      </c>
      <c r="M126" s="170">
        <v>7728000</v>
      </c>
      <c r="N126" s="169">
        <f t="shared" si="27"/>
        <v>602.5454545454545</v>
      </c>
      <c r="Q126" s="113">
        <v>1000</v>
      </c>
      <c r="R126" s="99">
        <v>0.25</v>
      </c>
      <c r="S126" s="99"/>
      <c r="T126" s="99">
        <f>1-R126</f>
        <v>0.75</v>
      </c>
      <c r="U126" s="99"/>
      <c r="V126" s="99"/>
      <c r="W126" s="99"/>
      <c r="AH126" s="99">
        <v>106</v>
      </c>
      <c r="AI126" s="113" t="s">
        <v>4569</v>
      </c>
      <c r="AJ126" s="113">
        <v>101000</v>
      </c>
      <c r="AK126" s="99">
        <v>0</v>
      </c>
      <c r="AL126" s="99">
        <f>AL127+AK126</f>
        <v>8</v>
      </c>
      <c r="AM126" s="117">
        <f t="shared" si="29"/>
        <v>808000</v>
      </c>
      <c r="AN126" s="99"/>
    </row>
    <row r="127" spans="8:43">
      <c r="K127" s="5" t="s">
        <v>4554</v>
      </c>
      <c r="L127" s="170">
        <v>1100000</v>
      </c>
      <c r="M127" s="170">
        <v>2904000</v>
      </c>
      <c r="N127" s="169">
        <f t="shared" si="27"/>
        <v>164</v>
      </c>
      <c r="Q127" s="169" t="s">
        <v>4457</v>
      </c>
      <c r="R127" s="169" t="s">
        <v>4475</v>
      </c>
      <c r="S127" s="169" t="s">
        <v>4477</v>
      </c>
      <c r="T127" s="169" t="s">
        <v>180</v>
      </c>
      <c r="U127" s="169" t="s">
        <v>4471</v>
      </c>
      <c r="V127" s="56" t="s">
        <v>4474</v>
      </c>
      <c r="W127" s="99"/>
      <c r="X127" s="115"/>
      <c r="AH127" s="149">
        <v>107</v>
      </c>
      <c r="AI127" s="191" t="s">
        <v>4674</v>
      </c>
      <c r="AJ127" s="191">
        <v>-48200</v>
      </c>
      <c r="AK127" s="149">
        <v>0</v>
      </c>
      <c r="AL127" s="149">
        <f t="shared" ref="AL127:AL138" si="30">AL128+AK127</f>
        <v>8</v>
      </c>
      <c r="AM127" s="191">
        <f t="shared" si="29"/>
        <v>-385600</v>
      </c>
      <c r="AN127" s="149" t="s">
        <v>4686</v>
      </c>
      <c r="AQ127" t="s">
        <v>25</v>
      </c>
    </row>
    <row r="128" spans="8:43">
      <c r="K128" s="56" t="s">
        <v>1086</v>
      </c>
      <c r="L128" s="170">
        <v>1100000</v>
      </c>
      <c r="M128" s="170">
        <v>3400000</v>
      </c>
      <c r="N128" s="169">
        <f t="shared" si="27"/>
        <v>209.09090909090909</v>
      </c>
      <c r="Q128" s="169" t="s">
        <v>751</v>
      </c>
      <c r="R128" s="56">
        <v>1151345</v>
      </c>
      <c r="S128" s="113">
        <f>R128*$T$171</f>
        <v>279099460.98270601</v>
      </c>
      <c r="T128" s="169" t="s">
        <v>4469</v>
      </c>
      <c r="U128" s="169">
        <f>$Q$126*$T$126*S128/$R$151</f>
        <v>439.69907778699428</v>
      </c>
      <c r="V128" s="95">
        <f>S128+U128</f>
        <v>279099900.6817838</v>
      </c>
      <c r="W128" s="99">
        <f>R128*100/U168</f>
        <v>58.626543704932573</v>
      </c>
      <c r="X128" s="163"/>
      <c r="AH128" s="89">
        <v>108</v>
      </c>
      <c r="AI128" s="90" t="s">
        <v>4674</v>
      </c>
      <c r="AJ128" s="90">
        <v>39327293</v>
      </c>
      <c r="AK128" s="89">
        <v>4</v>
      </c>
      <c r="AL128" s="149">
        <f t="shared" si="30"/>
        <v>8</v>
      </c>
      <c r="AM128" s="191">
        <f t="shared" si="29"/>
        <v>314618344</v>
      </c>
      <c r="AN128" s="89" t="s">
        <v>4687</v>
      </c>
    </row>
    <row r="129" spans="11:43">
      <c r="K129" s="210" t="s">
        <v>4587</v>
      </c>
      <c r="P129" s="114"/>
      <c r="Q129" s="169" t="s">
        <v>4459</v>
      </c>
      <c r="R129" s="56">
        <v>754688</v>
      </c>
      <c r="S129" s="113">
        <f>R129*$T$171</f>
        <v>182945176.30259952</v>
      </c>
      <c r="T129" s="169" t="s">
        <v>4469</v>
      </c>
      <c r="U129" s="169">
        <f>$Q$126*$T$126*S129/$R$151+Q126*R126</f>
        <v>538.21562400228527</v>
      </c>
      <c r="V129" s="95">
        <f>S129+U129</f>
        <v>182945714.51822352</v>
      </c>
      <c r="W129" s="99">
        <f>R129*100/U168</f>
        <v>38.428749866971373</v>
      </c>
      <c r="X129" s="115"/>
      <c r="AH129" s="89">
        <v>109</v>
      </c>
      <c r="AI129" s="90" t="s">
        <v>4707</v>
      </c>
      <c r="AJ129" s="90">
        <v>8749050</v>
      </c>
      <c r="AK129" s="89">
        <v>1</v>
      </c>
      <c r="AL129" s="89">
        <f t="shared" si="30"/>
        <v>4</v>
      </c>
      <c r="AM129" s="90">
        <f t="shared" si="29"/>
        <v>34996200</v>
      </c>
      <c r="AN129" s="89" t="s">
        <v>4711</v>
      </c>
    </row>
    <row r="130" spans="11:43">
      <c r="K130" s="210" t="s">
        <v>4588</v>
      </c>
      <c r="Q130" s="169" t="s">
        <v>4458</v>
      </c>
      <c r="R130" s="56">
        <v>57830</v>
      </c>
      <c r="S130" s="113">
        <f>R130*$T$171</f>
        <v>14018666.714694457</v>
      </c>
      <c r="T130" s="169" t="s">
        <v>4469</v>
      </c>
      <c r="U130" s="169">
        <f>$Q$126*$T$126*S130/$R$151</f>
        <v>22.085298210720403</v>
      </c>
      <c r="V130" s="95">
        <f>S130+U130</f>
        <v>14018688.799992668</v>
      </c>
      <c r="W130" s="99">
        <f>R130*100/U168</f>
        <v>2.9447064280960538</v>
      </c>
      <c r="X130" s="115"/>
      <c r="AH130" s="99">
        <v>110</v>
      </c>
      <c r="AI130" s="113" t="s">
        <v>4713</v>
      </c>
      <c r="AJ130" s="113">
        <v>60000</v>
      </c>
      <c r="AK130" s="99">
        <v>1</v>
      </c>
      <c r="AL130" s="99">
        <f t="shared" si="30"/>
        <v>3</v>
      </c>
      <c r="AM130" s="117">
        <f t="shared" si="29"/>
        <v>180000</v>
      </c>
      <c r="AN130" s="99" t="s">
        <v>4714</v>
      </c>
      <c r="AQ130" t="s">
        <v>25</v>
      </c>
    </row>
    <row r="131" spans="11:43">
      <c r="K131" s="210" t="s">
        <v>4589</v>
      </c>
      <c r="Q131" s="169"/>
      <c r="R131" s="56"/>
      <c r="S131" s="169"/>
      <c r="T131" s="169"/>
      <c r="U131" s="169"/>
      <c r="V131" s="99"/>
      <c r="W131" s="99"/>
      <c r="X131" s="115"/>
      <c r="AH131" s="20">
        <v>111</v>
      </c>
      <c r="AI131" s="117" t="s">
        <v>4723</v>
      </c>
      <c r="AJ131" s="117">
        <v>4750000</v>
      </c>
      <c r="AK131" s="20">
        <v>0</v>
      </c>
      <c r="AL131" s="99">
        <f t="shared" si="30"/>
        <v>2</v>
      </c>
      <c r="AM131" s="117">
        <f t="shared" si="29"/>
        <v>9500000</v>
      </c>
      <c r="AN131" s="20"/>
    </row>
    <row r="132" spans="11:43">
      <c r="Q132" s="169"/>
      <c r="R132" s="56"/>
      <c r="S132" s="169"/>
      <c r="T132" s="169"/>
      <c r="U132" s="169"/>
      <c r="V132" s="169"/>
      <c r="W132" s="99"/>
      <c r="X132" s="96"/>
      <c r="AH132" s="89">
        <v>112</v>
      </c>
      <c r="AI132" s="90" t="s">
        <v>4723</v>
      </c>
      <c r="AJ132" s="90">
        <v>13101160</v>
      </c>
      <c r="AK132" s="89">
        <v>1</v>
      </c>
      <c r="AL132" s="89">
        <f t="shared" si="30"/>
        <v>2</v>
      </c>
      <c r="AM132" s="90">
        <f t="shared" si="29"/>
        <v>26202320</v>
      </c>
      <c r="AN132" s="89" t="s">
        <v>4728</v>
      </c>
    </row>
    <row r="133" spans="11:43">
      <c r="Q133" s="169"/>
      <c r="R133" s="169"/>
      <c r="S133" s="169"/>
      <c r="T133" s="169"/>
      <c r="U133" s="169"/>
      <c r="V133" s="169"/>
      <c r="W133" s="99"/>
      <c r="X133" s="96"/>
      <c r="AH133" s="20">
        <v>113</v>
      </c>
      <c r="AI133" s="117" t="s">
        <v>4727</v>
      </c>
      <c r="AJ133" s="117">
        <v>-980000</v>
      </c>
      <c r="AK133" s="20">
        <v>0</v>
      </c>
      <c r="AL133" s="99">
        <f t="shared" si="30"/>
        <v>1</v>
      </c>
      <c r="AM133" s="117">
        <f t="shared" si="29"/>
        <v>-980000</v>
      </c>
      <c r="AN133" s="20"/>
    </row>
    <row r="134" spans="11:43">
      <c r="P134" s="114"/>
      <c r="Q134" s="99"/>
      <c r="R134" s="99"/>
      <c r="S134" s="99"/>
      <c r="T134" s="99" t="s">
        <v>25</v>
      </c>
      <c r="U134" s="99"/>
      <c r="V134" s="99"/>
      <c r="W134" s="99"/>
      <c r="X134" s="96"/>
      <c r="AH134" s="89">
        <v>114</v>
      </c>
      <c r="AI134" s="90" t="s">
        <v>4727</v>
      </c>
      <c r="AJ134" s="90">
        <v>13301790</v>
      </c>
      <c r="AK134" s="89">
        <v>0</v>
      </c>
      <c r="AL134" s="89">
        <f t="shared" si="30"/>
        <v>1</v>
      </c>
      <c r="AM134" s="90">
        <f t="shared" si="29"/>
        <v>13301790</v>
      </c>
      <c r="AN134" s="89" t="s">
        <v>4728</v>
      </c>
    </row>
    <row r="135" spans="11:43">
      <c r="P135" s="114"/>
      <c r="Q135" s="99"/>
      <c r="R135" s="99"/>
      <c r="S135" s="99"/>
      <c r="T135" s="99"/>
      <c r="U135" s="99"/>
      <c r="V135" s="99"/>
      <c r="W135" s="99"/>
      <c r="X135" s="96"/>
      <c r="AH135" s="20">
        <v>115</v>
      </c>
      <c r="AI135" s="117" t="s">
        <v>4727</v>
      </c>
      <c r="AJ135" s="117">
        <v>404000</v>
      </c>
      <c r="AK135" s="20">
        <v>1</v>
      </c>
      <c r="AL135" s="99">
        <f t="shared" si="30"/>
        <v>1</v>
      </c>
      <c r="AM135" s="117">
        <f t="shared" si="29"/>
        <v>404000</v>
      </c>
      <c r="AN135" s="20" t="s">
        <v>4749</v>
      </c>
      <c r="AQ135" t="s">
        <v>25</v>
      </c>
    </row>
    <row r="136" spans="11:43">
      <c r="Q136" s="99"/>
      <c r="R136" s="99"/>
      <c r="S136" s="99"/>
      <c r="T136" s="99"/>
      <c r="U136" s="99"/>
      <c r="V136" s="99"/>
      <c r="W136" s="99"/>
      <c r="X136" s="96"/>
      <c r="Y136" t="s">
        <v>25</v>
      </c>
      <c r="AH136" s="99"/>
      <c r="AI136" s="113"/>
      <c r="AJ136" s="113"/>
      <c r="AK136" s="99"/>
      <c r="AL136" s="99">
        <f t="shared" si="30"/>
        <v>0</v>
      </c>
      <c r="AM136" s="117">
        <f t="shared" si="29"/>
        <v>0</v>
      </c>
      <c r="AN136" s="99"/>
    </row>
    <row r="137" spans="11:43">
      <c r="Q137" s="96"/>
      <c r="R137" s="96"/>
      <c r="S137" s="96"/>
      <c r="T137" s="96"/>
      <c r="V137" s="96"/>
      <c r="X137" s="115"/>
      <c r="Y137" t="s">
        <v>25</v>
      </c>
      <c r="Z137" t="s">
        <v>25</v>
      </c>
      <c r="AH137" s="99"/>
      <c r="AI137" s="113"/>
      <c r="AJ137" s="113"/>
      <c r="AK137" s="99"/>
      <c r="AL137" s="99">
        <f t="shared" si="30"/>
        <v>0</v>
      </c>
      <c r="AM137" s="117">
        <f t="shared" si="29"/>
        <v>0</v>
      </c>
      <c r="AN137" s="99"/>
    </row>
    <row r="138" spans="11:43">
      <c r="Q138" s="96"/>
      <c r="R138" s="96"/>
      <c r="S138" s="96"/>
      <c r="T138" s="96"/>
      <c r="V138" s="96"/>
      <c r="AH138" s="99"/>
      <c r="AI138" s="113"/>
      <c r="AJ138" s="113"/>
      <c r="AK138" s="99"/>
      <c r="AL138" s="99">
        <f t="shared" si="30"/>
        <v>0</v>
      </c>
      <c r="AM138" s="117">
        <f t="shared" si="29"/>
        <v>0</v>
      </c>
      <c r="AN138" s="99"/>
    </row>
    <row r="139" spans="11:43">
      <c r="Q139" s="96"/>
      <c r="R139" s="96"/>
      <c r="S139" s="96"/>
      <c r="T139" s="96" t="s">
        <v>25</v>
      </c>
      <c r="V139" s="96"/>
      <c r="AH139" s="99"/>
      <c r="AI139" s="113"/>
      <c r="AJ139" s="113"/>
      <c r="AK139" s="99"/>
      <c r="AL139" s="99">
        <f t="shared" si="23"/>
        <v>0</v>
      </c>
      <c r="AM139" s="117">
        <f t="shared" si="10"/>
        <v>0</v>
      </c>
      <c r="AN139" s="99"/>
    </row>
    <row r="140" spans="11:43">
      <c r="Q140" s="96"/>
      <c r="R140" s="96"/>
      <c r="S140" s="96"/>
      <c r="T140" s="96"/>
      <c r="V140" s="96"/>
      <c r="AH140" s="99"/>
      <c r="AI140" s="99"/>
      <c r="AJ140" s="95">
        <f>SUM(AJ20:AJ139)</f>
        <v>445363412</v>
      </c>
      <c r="AK140" s="99"/>
      <c r="AL140" s="99"/>
      <c r="AM140" s="95">
        <f>SUM(AM20:AM139)</f>
        <v>36944909088</v>
      </c>
      <c r="AN140" s="95">
        <f>AM140*AN143/31</f>
        <v>23835425.218064517</v>
      </c>
    </row>
    <row r="141" spans="11:43">
      <c r="Q141" s="96"/>
      <c r="R141" s="96"/>
      <c r="S141" s="96"/>
      <c r="T141" s="99" t="s">
        <v>180</v>
      </c>
      <c r="U141" s="99" t="s">
        <v>4493</v>
      </c>
      <c r="V141" s="99" t="s">
        <v>4494</v>
      </c>
      <c r="W141" s="99" t="s">
        <v>4504</v>
      </c>
      <c r="X141" s="99" t="s">
        <v>8</v>
      </c>
      <c r="AH141" s="99"/>
      <c r="AI141" s="99"/>
      <c r="AJ141" s="99" t="s">
        <v>4060</v>
      </c>
      <c r="AK141" s="99"/>
      <c r="AL141" s="99"/>
      <c r="AM141" s="99" t="s">
        <v>284</v>
      </c>
      <c r="AN141" s="99" t="s">
        <v>943</v>
      </c>
      <c r="AP141" t="s">
        <v>25</v>
      </c>
    </row>
    <row r="142" spans="11:43">
      <c r="Q142" s="36" t="s">
        <v>4590</v>
      </c>
      <c r="R142" s="95">
        <f>SUM(N42:N59)</f>
        <v>445297070.89999998</v>
      </c>
      <c r="T142" s="113" t="s">
        <v>4469</v>
      </c>
      <c r="U142" s="56">
        <v>1000000</v>
      </c>
      <c r="V142" s="113">
        <v>239.024</v>
      </c>
      <c r="W142" s="113">
        <f t="shared" ref="W142:W165" si="31">U142*V142</f>
        <v>239024000</v>
      </c>
      <c r="X142" s="99"/>
      <c r="AH142" s="99"/>
      <c r="AI142" s="99"/>
      <c r="AJ142" s="99"/>
      <c r="AK142" s="99"/>
      <c r="AL142" s="99"/>
      <c r="AM142" s="99"/>
      <c r="AN142" s="99"/>
    </row>
    <row r="143" spans="11:43">
      <c r="Q143" s="99" t="s">
        <v>4460</v>
      </c>
      <c r="R143" s="95">
        <f>SUM(N21:N24)</f>
        <v>25335480.5</v>
      </c>
      <c r="T143" s="169" t="s">
        <v>4451</v>
      </c>
      <c r="U143" s="56">
        <v>5904</v>
      </c>
      <c r="V143" s="113">
        <v>237.148</v>
      </c>
      <c r="W143" s="113">
        <f t="shared" si="31"/>
        <v>1400121.7919999999</v>
      </c>
      <c r="X143" s="99" t="s">
        <v>751</v>
      </c>
      <c r="AH143" s="99"/>
      <c r="AI143" s="99"/>
      <c r="AJ143" s="99"/>
      <c r="AK143" s="99"/>
      <c r="AL143" s="99"/>
      <c r="AM143" s="99" t="s">
        <v>4061</v>
      </c>
      <c r="AN143" s="99">
        <v>0.02</v>
      </c>
    </row>
    <row r="144" spans="11:43">
      <c r="Q144" s="99" t="s">
        <v>4461</v>
      </c>
      <c r="R144" s="95">
        <f>SUM(N27:N29)</f>
        <v>3528051.6</v>
      </c>
      <c r="T144" s="169" t="s">
        <v>4233</v>
      </c>
      <c r="U144" s="169">
        <v>1000</v>
      </c>
      <c r="V144" s="113">
        <v>247.393</v>
      </c>
      <c r="W144" s="113">
        <f t="shared" si="31"/>
        <v>247393</v>
      </c>
      <c r="X144" s="99" t="s">
        <v>751</v>
      </c>
      <c r="AH144" s="99"/>
      <c r="AI144" s="99"/>
      <c r="AJ144" s="99"/>
      <c r="AK144" s="99"/>
      <c r="AL144" s="99"/>
      <c r="AM144" s="99"/>
      <c r="AN144" s="99"/>
    </row>
    <row r="145" spans="16:44">
      <c r="Q145" s="99" t="s">
        <v>4462</v>
      </c>
      <c r="R145" s="95">
        <f>N40</f>
        <v>105</v>
      </c>
      <c r="T145" s="169" t="s">
        <v>4506</v>
      </c>
      <c r="U145" s="169">
        <v>8071</v>
      </c>
      <c r="V145" s="113">
        <v>247.797</v>
      </c>
      <c r="W145" s="113">
        <f t="shared" si="31"/>
        <v>1999969.5870000001</v>
      </c>
      <c r="X145" s="99" t="s">
        <v>4458</v>
      </c>
      <c r="AH145" s="99"/>
      <c r="AI145" s="99" t="s">
        <v>4062</v>
      </c>
      <c r="AJ145" s="95">
        <f>AJ140+AN140</f>
        <v>469198837.21806455</v>
      </c>
      <c r="AK145" s="99"/>
      <c r="AL145" s="99"/>
      <c r="AM145" s="99"/>
      <c r="AN145" s="99"/>
    </row>
    <row r="146" spans="16:44">
      <c r="Q146" s="99" t="s">
        <v>4463</v>
      </c>
      <c r="R146" s="95">
        <f>N20</f>
        <v>3128</v>
      </c>
      <c r="T146" s="169" t="s">
        <v>4506</v>
      </c>
      <c r="U146" s="169">
        <v>53672</v>
      </c>
      <c r="V146" s="113">
        <v>247.797</v>
      </c>
      <c r="W146" s="113">
        <f t="shared" si="31"/>
        <v>13299760.584000001</v>
      </c>
      <c r="X146" s="99" t="s">
        <v>452</v>
      </c>
      <c r="AI146" t="s">
        <v>4065</v>
      </c>
      <c r="AJ146" s="114">
        <f>SUM(N40:N59)</f>
        <v>445297175.89999998</v>
      </c>
      <c r="AR146" t="s">
        <v>25</v>
      </c>
    </row>
    <row r="147" spans="16:44">
      <c r="Q147" s="99" t="s">
        <v>4464</v>
      </c>
      <c r="R147" s="95">
        <f>N26</f>
        <v>3128</v>
      </c>
      <c r="T147" s="169" t="s">
        <v>4516</v>
      </c>
      <c r="U147" s="169">
        <v>4099</v>
      </c>
      <c r="V147" s="113">
        <v>243.93</v>
      </c>
      <c r="W147" s="113">
        <f t="shared" si="31"/>
        <v>999869.07000000007</v>
      </c>
      <c r="X147" s="99" t="s">
        <v>4458</v>
      </c>
      <c r="AI147" t="s">
        <v>4137</v>
      </c>
      <c r="AJ147" s="114">
        <f>AJ146-AJ140</f>
        <v>-66236.100000023842</v>
      </c>
      <c r="AM147" t="s">
        <v>25</v>
      </c>
    </row>
    <row r="148" spans="16:44">
      <c r="P148" s="114"/>
      <c r="Q148" s="99" t="s">
        <v>4476</v>
      </c>
      <c r="R148" s="95">
        <v>1465221</v>
      </c>
      <c r="T148" s="169" t="s">
        <v>4516</v>
      </c>
      <c r="U148" s="169">
        <v>9301</v>
      </c>
      <c r="V148" s="113">
        <v>243.93</v>
      </c>
      <c r="W148" s="113">
        <f t="shared" si="31"/>
        <v>2268792.9300000002</v>
      </c>
      <c r="X148" s="99" t="s">
        <v>452</v>
      </c>
      <c r="AI148" t="s">
        <v>943</v>
      </c>
      <c r="AJ148" s="114">
        <f>AN140</f>
        <v>23835425.218064517</v>
      </c>
    </row>
    <row r="149" spans="16:44">
      <c r="Q149" s="99" t="s">
        <v>4735</v>
      </c>
      <c r="R149" s="95">
        <v>410000</v>
      </c>
      <c r="T149" s="169" t="s">
        <v>4524</v>
      </c>
      <c r="U149" s="169">
        <v>8334</v>
      </c>
      <c r="V149" s="113">
        <v>239.97</v>
      </c>
      <c r="W149" s="113">
        <f t="shared" si="31"/>
        <v>1999909.98</v>
      </c>
      <c r="X149" s="99" t="s">
        <v>4458</v>
      </c>
      <c r="AI149" t="s">
        <v>4066</v>
      </c>
      <c r="AJ149" s="114">
        <f>AJ146-AJ145</f>
        <v>-23901661.31806457</v>
      </c>
    </row>
    <row r="150" spans="16:44">
      <c r="Q150" s="99" t="s">
        <v>4610</v>
      </c>
      <c r="R150" s="95">
        <v>21119</v>
      </c>
      <c r="T150" s="169" t="s">
        <v>4232</v>
      </c>
      <c r="U150" s="169">
        <v>29041</v>
      </c>
      <c r="V150" s="113">
        <v>233.45</v>
      </c>
      <c r="W150" s="113">
        <f t="shared" si="31"/>
        <v>6779621.4499999993</v>
      </c>
      <c r="X150" s="99" t="s">
        <v>751</v>
      </c>
      <c r="AM150" t="s">
        <v>25</v>
      </c>
    </row>
    <row r="151" spans="16:44">
      <c r="Q151" s="99" t="s">
        <v>4468</v>
      </c>
      <c r="R151" s="95">
        <f>SUM(R142:R150)</f>
        <v>476063304</v>
      </c>
      <c r="S151" s="115"/>
      <c r="T151" s="169" t="s">
        <v>994</v>
      </c>
      <c r="U151" s="169">
        <v>12337</v>
      </c>
      <c r="V151" s="113">
        <v>243.16300000000001</v>
      </c>
      <c r="W151" s="113">
        <f t="shared" si="31"/>
        <v>2999901.9310000003</v>
      </c>
      <c r="X151" s="99" t="s">
        <v>4458</v>
      </c>
      <c r="AJ151" t="s">
        <v>25</v>
      </c>
    </row>
    <row r="152" spans="16:44">
      <c r="Q152" s="96"/>
      <c r="S152" s="122"/>
      <c r="T152" s="169" t="s">
        <v>4618</v>
      </c>
      <c r="U152" s="169">
        <v>-16118</v>
      </c>
      <c r="V152" s="113">
        <v>248.17</v>
      </c>
      <c r="W152" s="113">
        <f t="shared" si="31"/>
        <v>-4000004.0599999996</v>
      </c>
      <c r="X152" s="99" t="s">
        <v>751</v>
      </c>
    </row>
    <row r="153" spans="16:44">
      <c r="Q153" s="96"/>
      <c r="R153" s="184"/>
      <c r="S153" s="115"/>
      <c r="T153" s="169" t="s">
        <v>4650</v>
      </c>
      <c r="U153" s="169">
        <v>101681</v>
      </c>
      <c r="V153" s="113">
        <v>246.5711</v>
      </c>
      <c r="W153" s="113">
        <f t="shared" si="31"/>
        <v>25071596.019099999</v>
      </c>
      <c r="X153" s="99" t="s">
        <v>452</v>
      </c>
    </row>
    <row r="154" spans="16:44">
      <c r="Q154" s="96"/>
      <c r="R154" s="184"/>
      <c r="S154" s="115"/>
      <c r="T154" s="169" t="s">
        <v>4658</v>
      </c>
      <c r="U154" s="169">
        <v>66606</v>
      </c>
      <c r="V154" s="113">
        <v>251.131</v>
      </c>
      <c r="W154" s="113">
        <f t="shared" si="31"/>
        <v>16726831.386</v>
      </c>
      <c r="X154" s="99" t="s">
        <v>751</v>
      </c>
    </row>
    <row r="155" spans="16:44">
      <c r="Q155" s="96"/>
      <c r="R155" s="115"/>
      <c r="T155" s="169" t="s">
        <v>4671</v>
      </c>
      <c r="U155" s="169">
        <v>172025</v>
      </c>
      <c r="V155" s="113">
        <v>245.52809999999999</v>
      </c>
      <c r="W155" s="113">
        <f t="shared" si="31"/>
        <v>42236971.402499996</v>
      </c>
      <c r="X155" s="99" t="s">
        <v>452</v>
      </c>
    </row>
    <row r="156" spans="16:44">
      <c r="T156" s="169" t="s">
        <v>4671</v>
      </c>
      <c r="U156" s="169">
        <v>189227</v>
      </c>
      <c r="V156" s="113">
        <v>245.52809999999999</v>
      </c>
      <c r="W156" s="113">
        <f t="shared" si="31"/>
        <v>46460545.778700002</v>
      </c>
      <c r="X156" s="99" t="s">
        <v>751</v>
      </c>
      <c r="AH156" s="99" t="s">
        <v>3642</v>
      </c>
      <c r="AI156" s="99" t="s">
        <v>180</v>
      </c>
      <c r="AJ156" s="99" t="s">
        <v>267</v>
      </c>
      <c r="AK156" s="99" t="s">
        <v>4059</v>
      </c>
      <c r="AL156" s="99" t="s">
        <v>4051</v>
      </c>
      <c r="AM156" s="99" t="s">
        <v>282</v>
      </c>
      <c r="AN156" s="99" t="s">
        <v>4294</v>
      </c>
    </row>
    <row r="157" spans="16:44">
      <c r="Q157" s="99" t="s">
        <v>4458</v>
      </c>
      <c r="R157" s="99"/>
      <c r="T157" s="169" t="s">
        <v>4674</v>
      </c>
      <c r="U157" s="169">
        <v>79720</v>
      </c>
      <c r="V157" s="113">
        <v>246.6568</v>
      </c>
      <c r="W157" s="113">
        <f t="shared" si="31"/>
        <v>19663480.096000001</v>
      </c>
      <c r="X157" s="99" t="s">
        <v>452</v>
      </c>
      <c r="AH157" s="99">
        <v>1</v>
      </c>
      <c r="AI157" s="99" t="s">
        <v>3950</v>
      </c>
      <c r="AJ157" s="117">
        <v>3555820</v>
      </c>
      <c r="AK157" s="99">
        <v>2</v>
      </c>
      <c r="AL157" s="99">
        <f>AK157+AL158</f>
        <v>187</v>
      </c>
      <c r="AM157" s="99">
        <f>AJ157*AL157</f>
        <v>664938340</v>
      </c>
      <c r="AN157" s="99" t="s">
        <v>4317</v>
      </c>
    </row>
    <row r="158" spans="16:44">
      <c r="Q158" s="36" t="s">
        <v>180</v>
      </c>
      <c r="R158" s="99" t="s">
        <v>267</v>
      </c>
      <c r="T158" s="169" t="s">
        <v>4674</v>
      </c>
      <c r="U158" s="169">
        <v>79720</v>
      </c>
      <c r="V158" s="113">
        <v>246.6568</v>
      </c>
      <c r="W158" s="113">
        <f t="shared" si="31"/>
        <v>19663480.096000001</v>
      </c>
      <c r="X158" s="99" t="s">
        <v>751</v>
      </c>
      <c r="AH158" s="99">
        <v>2</v>
      </c>
      <c r="AI158" s="99" t="s">
        <v>4025</v>
      </c>
      <c r="AJ158" s="117">
        <v>1720837</v>
      </c>
      <c r="AK158" s="99">
        <v>51</v>
      </c>
      <c r="AL158" s="99">
        <f t="shared" ref="AL158:AL167" si="32">AK158+AL159</f>
        <v>185</v>
      </c>
      <c r="AM158" s="99">
        <f t="shared" ref="AM158:AM187" si="33">AJ158*AL158</f>
        <v>318354845</v>
      </c>
      <c r="AN158" s="99" t="s">
        <v>4318</v>
      </c>
    </row>
    <row r="159" spans="16:44">
      <c r="Q159" s="99" t="s">
        <v>4451</v>
      </c>
      <c r="R159" s="95">
        <v>3000000</v>
      </c>
      <c r="T159" s="169" t="s">
        <v>4707</v>
      </c>
      <c r="U159" s="169">
        <v>17769</v>
      </c>
      <c r="V159" s="113">
        <v>246.17877999999999</v>
      </c>
      <c r="W159" s="113">
        <f t="shared" si="31"/>
        <v>4374350.7418200001</v>
      </c>
      <c r="X159" s="99" t="s">
        <v>751</v>
      </c>
      <c r="AH159" s="99">
        <v>3</v>
      </c>
      <c r="AI159" s="99" t="s">
        <v>4131</v>
      </c>
      <c r="AJ159" s="117">
        <v>150000</v>
      </c>
      <c r="AK159" s="99">
        <v>3</v>
      </c>
      <c r="AL159" s="99">
        <f t="shared" si="32"/>
        <v>134</v>
      </c>
      <c r="AM159" s="99">
        <f t="shared" si="33"/>
        <v>20100000</v>
      </c>
      <c r="AN159" s="99"/>
    </row>
    <row r="160" spans="16:44">
      <c r="Q160" s="99" t="s">
        <v>4506</v>
      </c>
      <c r="R160" s="95">
        <v>2000000</v>
      </c>
      <c r="T160" s="169" t="s">
        <v>4707</v>
      </c>
      <c r="U160" s="169">
        <v>17769</v>
      </c>
      <c r="V160" s="113">
        <v>246.17877999999999</v>
      </c>
      <c r="W160" s="113">
        <f t="shared" si="31"/>
        <v>4374350.7418200001</v>
      </c>
      <c r="X160" s="99" t="s">
        <v>452</v>
      </c>
      <c r="AH160" s="99">
        <v>4</v>
      </c>
      <c r="AI160" s="99" t="s">
        <v>4146</v>
      </c>
      <c r="AJ160" s="117">
        <v>-95000</v>
      </c>
      <c r="AK160" s="99">
        <v>8</v>
      </c>
      <c r="AL160" s="99">
        <f t="shared" si="32"/>
        <v>131</v>
      </c>
      <c r="AM160" s="99">
        <f t="shared" si="33"/>
        <v>-12445000</v>
      </c>
      <c r="AN160" s="99"/>
    </row>
    <row r="161" spans="17:40">
      <c r="Q161" s="99" t="s">
        <v>4516</v>
      </c>
      <c r="R161" s="95">
        <v>1000000</v>
      </c>
      <c r="T161" s="169" t="s">
        <v>4713</v>
      </c>
      <c r="U161" s="169">
        <v>12438</v>
      </c>
      <c r="V161" s="113">
        <v>241.20465999999999</v>
      </c>
      <c r="W161" s="113">
        <f t="shared" si="31"/>
        <v>3000103.5610799999</v>
      </c>
      <c r="X161" s="99" t="s">
        <v>4458</v>
      </c>
      <c r="AH161" s="99">
        <v>5</v>
      </c>
      <c r="AI161" s="99" t="s">
        <v>4173</v>
      </c>
      <c r="AJ161" s="117">
        <v>3150000</v>
      </c>
      <c r="AK161" s="99">
        <v>16</v>
      </c>
      <c r="AL161" s="99">
        <f t="shared" si="32"/>
        <v>123</v>
      </c>
      <c r="AM161" s="99">
        <f t="shared" si="33"/>
        <v>387450000</v>
      </c>
      <c r="AN161" s="99"/>
    </row>
    <row r="162" spans="17:40">
      <c r="Q162" s="99" t="s">
        <v>4524</v>
      </c>
      <c r="R162" s="95">
        <v>2000000</v>
      </c>
      <c r="T162" s="169" t="s">
        <v>4723</v>
      </c>
      <c r="U162" s="169">
        <v>27363</v>
      </c>
      <c r="V162" s="113">
        <v>239.3886</v>
      </c>
      <c r="W162" s="113">
        <f t="shared" si="31"/>
        <v>6550390.2617999995</v>
      </c>
      <c r="X162" s="99" t="s">
        <v>751</v>
      </c>
      <c r="AH162" s="99">
        <v>6</v>
      </c>
      <c r="AI162" s="99" t="s">
        <v>4242</v>
      </c>
      <c r="AJ162" s="117">
        <v>-65000</v>
      </c>
      <c r="AK162" s="99">
        <v>1</v>
      </c>
      <c r="AL162" s="99">
        <f t="shared" si="32"/>
        <v>107</v>
      </c>
      <c r="AM162" s="99">
        <f t="shared" si="33"/>
        <v>-6955000</v>
      </c>
      <c r="AN162" s="99"/>
    </row>
    <row r="163" spans="17:40">
      <c r="Q163" s="99" t="s">
        <v>994</v>
      </c>
      <c r="R163" s="95">
        <v>3000000</v>
      </c>
      <c r="T163" s="169" t="s">
        <v>4723</v>
      </c>
      <c r="U163" s="169">
        <v>27363</v>
      </c>
      <c r="V163" s="113">
        <v>239.3886</v>
      </c>
      <c r="W163" s="113">
        <f t="shared" si="31"/>
        <v>6550390.2617999995</v>
      </c>
      <c r="X163" s="99" t="s">
        <v>452</v>
      </c>
      <c r="AH163" s="99">
        <v>7</v>
      </c>
      <c r="AI163" s="99" t="s">
        <v>4319</v>
      </c>
      <c r="AJ163" s="117">
        <v>-95000</v>
      </c>
      <c r="AK163" s="99">
        <v>6</v>
      </c>
      <c r="AL163" s="99">
        <f t="shared" si="32"/>
        <v>106</v>
      </c>
      <c r="AM163" s="99">
        <f t="shared" si="33"/>
        <v>-10070000</v>
      </c>
      <c r="AN163" s="99"/>
    </row>
    <row r="164" spans="17:40">
      <c r="Q164" s="99" t="s">
        <v>4713</v>
      </c>
      <c r="R164" s="95">
        <v>3000000</v>
      </c>
      <c r="T164" s="217" t="s">
        <v>4727</v>
      </c>
      <c r="U164" s="217">
        <v>27437</v>
      </c>
      <c r="V164" s="113">
        <v>242.4015</v>
      </c>
      <c r="W164" s="113">
        <f t="shared" si="31"/>
        <v>6650769.9555000002</v>
      </c>
      <c r="X164" s="99" t="s">
        <v>751</v>
      </c>
      <c r="AH164" s="99">
        <v>8</v>
      </c>
      <c r="AI164" s="99" t="s">
        <v>4320</v>
      </c>
      <c r="AJ164" s="117">
        <v>232000</v>
      </c>
      <c r="AK164" s="99">
        <v>7</v>
      </c>
      <c r="AL164" s="99">
        <f t="shared" si="32"/>
        <v>100</v>
      </c>
      <c r="AM164" s="99">
        <f t="shared" si="33"/>
        <v>23200000</v>
      </c>
      <c r="AN164" s="99"/>
    </row>
    <row r="165" spans="17:40">
      <c r="Q165" s="99"/>
      <c r="R165" s="95"/>
      <c r="T165" s="217" t="s">
        <v>4727</v>
      </c>
      <c r="U165" s="217">
        <v>29104</v>
      </c>
      <c r="V165" s="113">
        <v>242.4015</v>
      </c>
      <c r="W165" s="113">
        <f t="shared" si="31"/>
        <v>7054853.2560000001</v>
      </c>
      <c r="X165" s="99" t="s">
        <v>452</v>
      </c>
      <c r="AH165" s="99">
        <v>9</v>
      </c>
      <c r="AI165" s="99" t="s">
        <v>4293</v>
      </c>
      <c r="AJ165" s="117">
        <v>13000000</v>
      </c>
      <c r="AK165" s="99">
        <v>2</v>
      </c>
      <c r="AL165" s="99">
        <f t="shared" si="32"/>
        <v>93</v>
      </c>
      <c r="AM165" s="99">
        <f t="shared" si="33"/>
        <v>1209000000</v>
      </c>
      <c r="AN165" s="99"/>
    </row>
    <row r="166" spans="17:40">
      <c r="Q166" s="99"/>
      <c r="R166" s="95"/>
      <c r="T166" s="169"/>
      <c r="U166" s="169"/>
      <c r="V166" s="113"/>
      <c r="W166" s="113"/>
      <c r="X166" s="99"/>
      <c r="AH166" s="99">
        <v>10</v>
      </c>
      <c r="AI166" s="99" t="s">
        <v>4321</v>
      </c>
      <c r="AJ166" s="117">
        <v>10000000</v>
      </c>
      <c r="AK166" s="99">
        <v>3</v>
      </c>
      <c r="AL166" s="99">
        <f t="shared" si="32"/>
        <v>91</v>
      </c>
      <c r="AM166" s="99">
        <f t="shared" si="33"/>
        <v>910000000</v>
      </c>
      <c r="AN166" s="99"/>
    </row>
    <row r="167" spans="17:40">
      <c r="Q167" s="99"/>
      <c r="R167" s="95">
        <f>SUM(R159:R164)</f>
        <v>14000000</v>
      </c>
      <c r="T167" s="169"/>
      <c r="U167" s="169"/>
      <c r="V167" s="113"/>
      <c r="W167" s="113"/>
      <c r="X167" s="99"/>
      <c r="AH167" s="99">
        <v>11</v>
      </c>
      <c r="AI167" s="99" t="s">
        <v>4306</v>
      </c>
      <c r="AJ167" s="117">
        <v>3400000</v>
      </c>
      <c r="AK167" s="99">
        <v>9</v>
      </c>
      <c r="AL167" s="99">
        <f t="shared" si="32"/>
        <v>88</v>
      </c>
      <c r="AM167" s="99">
        <f t="shared" si="33"/>
        <v>299200000</v>
      </c>
      <c r="AN167" s="99"/>
    </row>
    <row r="168" spans="17:40">
      <c r="Q168" s="99"/>
      <c r="R168" s="99" t="s">
        <v>6</v>
      </c>
      <c r="T168" s="169"/>
      <c r="U168" s="169">
        <f>SUM(U142:U167)</f>
        <v>1963863</v>
      </c>
      <c r="V168" s="99"/>
      <c r="W168" s="99"/>
      <c r="X168" s="99"/>
      <c r="AH168" s="99">
        <v>12</v>
      </c>
      <c r="AI168" s="99" t="s">
        <v>4353</v>
      </c>
      <c r="AJ168" s="117">
        <v>-8736514</v>
      </c>
      <c r="AK168" s="99">
        <v>1</v>
      </c>
      <c r="AL168" s="99">
        <f>AK168+AL169</f>
        <v>79</v>
      </c>
      <c r="AM168" s="99">
        <f t="shared" si="33"/>
        <v>-690184606</v>
      </c>
      <c r="AN168" s="99"/>
    </row>
    <row r="169" spans="17:40">
      <c r="S169" t="s">
        <v>25</v>
      </c>
      <c r="T169" s="99"/>
      <c r="U169" s="99" t="s">
        <v>6</v>
      </c>
      <c r="V169" s="99"/>
      <c r="W169" s="99"/>
      <c r="X169" s="99"/>
      <c r="AH169" s="99">
        <v>13</v>
      </c>
      <c r="AI169" s="99" t="s">
        <v>4354</v>
      </c>
      <c r="AJ169" s="117">
        <v>555000</v>
      </c>
      <c r="AK169" s="99">
        <v>5</v>
      </c>
      <c r="AL169" s="99">
        <f t="shared" ref="AL169:AL187" si="34">AK169+AL170</f>
        <v>78</v>
      </c>
      <c r="AM169" s="99">
        <f t="shared" si="33"/>
        <v>43290000</v>
      </c>
      <c r="AN169" s="99"/>
    </row>
    <row r="170" spans="17:40">
      <c r="Q170" s="96"/>
      <c r="R170" s="96"/>
      <c r="T170" s="204" t="s">
        <v>4495</v>
      </c>
      <c r="AH170" s="99">
        <v>14</v>
      </c>
      <c r="AI170" s="99" t="s">
        <v>4378</v>
      </c>
      <c r="AJ170" s="117">
        <v>-448308</v>
      </c>
      <c r="AK170" s="99">
        <v>6</v>
      </c>
      <c r="AL170" s="99">
        <f t="shared" si="34"/>
        <v>73</v>
      </c>
      <c r="AM170" s="99">
        <f t="shared" si="33"/>
        <v>-32726484</v>
      </c>
      <c r="AN170" s="99"/>
    </row>
    <row r="171" spans="17:40">
      <c r="Q171" s="96"/>
      <c r="R171" s="96"/>
      <c r="T171" s="203">
        <f>R151/U168</f>
        <v>242.41166720896518</v>
      </c>
      <c r="AH171" s="99">
        <v>15</v>
      </c>
      <c r="AI171" s="99" t="s">
        <v>4410</v>
      </c>
      <c r="AJ171" s="117">
        <v>33225</v>
      </c>
      <c r="AK171" s="99">
        <v>0</v>
      </c>
      <c r="AL171" s="99">
        <f t="shared" si="34"/>
        <v>67</v>
      </c>
      <c r="AM171" s="99">
        <f t="shared" si="33"/>
        <v>2226075</v>
      </c>
      <c r="AN171" s="99"/>
    </row>
    <row r="172" spans="17:40">
      <c r="W172" s="114"/>
      <c r="AH172" s="149">
        <v>16</v>
      </c>
      <c r="AI172" s="149" t="s">
        <v>4410</v>
      </c>
      <c r="AJ172" s="191">
        <v>4098523</v>
      </c>
      <c r="AK172" s="149">
        <v>2</v>
      </c>
      <c r="AL172" s="149">
        <f t="shared" si="34"/>
        <v>67</v>
      </c>
      <c r="AM172" s="149">
        <f t="shared" si="33"/>
        <v>274601041</v>
      </c>
      <c r="AN172" s="149" t="s">
        <v>657</v>
      </c>
    </row>
    <row r="173" spans="17:40">
      <c r="Q173" s="99" t="s">
        <v>751</v>
      </c>
      <c r="R173" s="99"/>
      <c r="U173" s="96" t="s">
        <v>267</v>
      </c>
      <c r="V173" t="s">
        <v>4496</v>
      </c>
      <c r="AH173" s="149">
        <v>17</v>
      </c>
      <c r="AI173" s="149" t="s">
        <v>4424</v>
      </c>
      <c r="AJ173" s="191">
        <v>-1000000</v>
      </c>
      <c r="AK173" s="149">
        <v>7</v>
      </c>
      <c r="AL173" s="149">
        <f t="shared" si="34"/>
        <v>65</v>
      </c>
      <c r="AM173" s="149">
        <f t="shared" si="33"/>
        <v>-65000000</v>
      </c>
      <c r="AN173" s="149" t="s">
        <v>657</v>
      </c>
    </row>
    <row r="174" spans="17:40">
      <c r="Q174" s="99" t="s">
        <v>4451</v>
      </c>
      <c r="R174" s="95">
        <v>172908000</v>
      </c>
      <c r="T174" s="114"/>
      <c r="U174" s="113">
        <v>7054895</v>
      </c>
      <c r="V174">
        <f>U174/T171</f>
        <v>29102.951525507626</v>
      </c>
      <c r="X174" t="s">
        <v>25</v>
      </c>
      <c r="Y174" t="s">
        <v>25</v>
      </c>
      <c r="AH174" s="149">
        <v>18</v>
      </c>
      <c r="AI174" s="149" t="s">
        <v>4447</v>
      </c>
      <c r="AJ174" s="191">
        <v>750000</v>
      </c>
      <c r="AK174" s="149">
        <v>1</v>
      </c>
      <c r="AL174" s="149">
        <f t="shared" si="34"/>
        <v>58</v>
      </c>
      <c r="AM174" s="149">
        <f t="shared" si="33"/>
        <v>43500000</v>
      </c>
      <c r="AN174" s="149" t="s">
        <v>657</v>
      </c>
    </row>
    <row r="175" spans="17:40">
      <c r="Q175" s="99" t="s">
        <v>4492</v>
      </c>
      <c r="R175" s="95">
        <v>1400000</v>
      </c>
      <c r="X175" t="s">
        <v>25</v>
      </c>
      <c r="AH175" s="199">
        <v>19</v>
      </c>
      <c r="AI175" s="199" t="s">
        <v>4449</v>
      </c>
      <c r="AJ175" s="200">
        <v>-604152</v>
      </c>
      <c r="AK175" s="199">
        <v>0</v>
      </c>
      <c r="AL175" s="199">
        <f t="shared" si="34"/>
        <v>57</v>
      </c>
      <c r="AM175" s="199">
        <f t="shared" si="33"/>
        <v>-34436664</v>
      </c>
      <c r="AN175" s="199" t="s">
        <v>657</v>
      </c>
    </row>
    <row r="176" spans="17:40">
      <c r="Q176" s="99" t="s">
        <v>4233</v>
      </c>
      <c r="R176" s="95">
        <v>247393</v>
      </c>
      <c r="X176" t="s">
        <v>25</v>
      </c>
      <c r="AH176" s="99">
        <v>20</v>
      </c>
      <c r="AI176" s="99" t="s">
        <v>4450</v>
      </c>
      <c r="AJ176" s="117">
        <v>-587083</v>
      </c>
      <c r="AK176" s="99">
        <v>4</v>
      </c>
      <c r="AL176" s="99">
        <f t="shared" si="34"/>
        <v>57</v>
      </c>
      <c r="AM176" s="99">
        <f t="shared" si="33"/>
        <v>-33463731</v>
      </c>
      <c r="AN176" s="99"/>
    </row>
    <row r="177" spans="17:44">
      <c r="Q177" s="99" t="s">
        <v>4232</v>
      </c>
      <c r="R177" s="95">
        <v>6780000</v>
      </c>
      <c r="AH177" s="199">
        <v>21</v>
      </c>
      <c r="AI177" s="199" t="s">
        <v>4451</v>
      </c>
      <c r="AJ177" s="200">
        <v>-754351</v>
      </c>
      <c r="AK177" s="199">
        <v>0</v>
      </c>
      <c r="AL177" s="149">
        <f t="shared" si="34"/>
        <v>53</v>
      </c>
      <c r="AM177" s="199">
        <f t="shared" si="33"/>
        <v>-39980603</v>
      </c>
      <c r="AN177" s="199" t="s">
        <v>657</v>
      </c>
    </row>
    <row r="178" spans="17:44">
      <c r="Q178" s="99" t="s">
        <v>4618</v>
      </c>
      <c r="R178" s="95">
        <v>-4000000</v>
      </c>
      <c r="AH178" s="99">
        <v>22</v>
      </c>
      <c r="AI178" s="99" t="s">
        <v>4451</v>
      </c>
      <c r="AJ178" s="117">
        <v>-189619</v>
      </c>
      <c r="AK178" s="99">
        <v>15</v>
      </c>
      <c r="AL178" s="99">
        <f t="shared" si="34"/>
        <v>53</v>
      </c>
      <c r="AM178" s="99">
        <f t="shared" si="33"/>
        <v>-10049807</v>
      </c>
      <c r="AN178" s="99"/>
    </row>
    <row r="179" spans="17:44" ht="60">
      <c r="Q179" s="99" t="s">
        <v>4658</v>
      </c>
      <c r="R179" s="95">
        <v>16727037</v>
      </c>
      <c r="T179" s="22" t="s">
        <v>4479</v>
      </c>
      <c r="AH179" s="199">
        <v>23</v>
      </c>
      <c r="AI179" s="199" t="s">
        <v>4528</v>
      </c>
      <c r="AJ179" s="191">
        <v>7100</v>
      </c>
      <c r="AK179" s="199">
        <v>0</v>
      </c>
      <c r="AL179" s="149">
        <f t="shared" si="34"/>
        <v>38</v>
      </c>
      <c r="AM179" s="199">
        <f t="shared" si="33"/>
        <v>269800</v>
      </c>
      <c r="AN179" s="199" t="s">
        <v>657</v>
      </c>
    </row>
    <row r="180" spans="17:44" ht="45">
      <c r="Q180" s="99" t="s">
        <v>4671</v>
      </c>
      <c r="R180" s="95">
        <v>46460683</v>
      </c>
      <c r="T180" s="22" t="s">
        <v>4480</v>
      </c>
      <c r="AH180" s="20">
        <v>24</v>
      </c>
      <c r="AI180" s="20" t="s">
        <v>4528</v>
      </c>
      <c r="AJ180" s="117">
        <v>-147902</v>
      </c>
      <c r="AK180" s="20">
        <v>3</v>
      </c>
      <c r="AL180" s="99">
        <f t="shared" si="34"/>
        <v>38</v>
      </c>
      <c r="AM180" s="20">
        <f t="shared" si="33"/>
        <v>-5620276</v>
      </c>
      <c r="AN180" s="20"/>
      <c r="AR180" t="s">
        <v>25</v>
      </c>
    </row>
    <row r="181" spans="17:44">
      <c r="Q181" s="99" t="s">
        <v>4674</v>
      </c>
      <c r="R181" s="95">
        <v>19663646</v>
      </c>
      <c r="AH181" s="149">
        <v>25</v>
      </c>
      <c r="AI181" s="149" t="s">
        <v>4536</v>
      </c>
      <c r="AJ181" s="191">
        <v>-37200</v>
      </c>
      <c r="AK181" s="149">
        <v>4</v>
      </c>
      <c r="AL181" s="149">
        <f t="shared" si="34"/>
        <v>35</v>
      </c>
      <c r="AM181" s="199">
        <f t="shared" si="33"/>
        <v>-1302000</v>
      </c>
      <c r="AN181" s="149" t="s">
        <v>657</v>
      </c>
    </row>
    <row r="182" spans="17:44">
      <c r="Q182" s="99" t="s">
        <v>4707</v>
      </c>
      <c r="R182" s="95">
        <v>4374525</v>
      </c>
      <c r="S182" t="s">
        <v>25</v>
      </c>
      <c r="AH182" s="99">
        <v>26</v>
      </c>
      <c r="AI182" s="99" t="s">
        <v>4569</v>
      </c>
      <c r="AJ182" s="117">
        <v>-372326</v>
      </c>
      <c r="AK182" s="99">
        <v>21</v>
      </c>
      <c r="AL182" s="99">
        <f t="shared" si="34"/>
        <v>31</v>
      </c>
      <c r="AM182" s="20">
        <f t="shared" si="33"/>
        <v>-11542106</v>
      </c>
      <c r="AN182" s="99"/>
    </row>
    <row r="183" spans="17:44">
      <c r="Q183" s="99" t="s">
        <v>4723</v>
      </c>
      <c r="R183" s="95">
        <v>6550580</v>
      </c>
      <c r="T183" s="99" t="s">
        <v>4497</v>
      </c>
      <c r="U183" s="99" t="s">
        <v>4468</v>
      </c>
      <c r="V183" s="99" t="s">
        <v>953</v>
      </c>
      <c r="AH183" s="99">
        <v>27</v>
      </c>
      <c r="AI183" s="99" t="s">
        <v>4634</v>
      </c>
      <c r="AJ183" s="117">
        <v>235062</v>
      </c>
      <c r="AK183" s="99">
        <v>0</v>
      </c>
      <c r="AL183" s="99">
        <f t="shared" si="34"/>
        <v>10</v>
      </c>
      <c r="AM183" s="20">
        <f t="shared" si="33"/>
        <v>2350620</v>
      </c>
      <c r="AN183" s="99"/>
    </row>
    <row r="184" spans="17:44">
      <c r="Q184" s="99" t="s">
        <v>4727</v>
      </c>
      <c r="R184" s="95">
        <v>6650895</v>
      </c>
      <c r="T184" s="95">
        <f>R167+R187+R203</f>
        <v>475399001</v>
      </c>
      <c r="U184" s="95">
        <f>R151</f>
        <v>476063304</v>
      </c>
      <c r="V184" s="95">
        <f>U184-T184</f>
        <v>664303</v>
      </c>
      <c r="AH184" s="149">
        <v>28</v>
      </c>
      <c r="AI184" s="149" t="s">
        <v>4634</v>
      </c>
      <c r="AJ184" s="191">
        <v>235062</v>
      </c>
      <c r="AK184" s="149">
        <v>9</v>
      </c>
      <c r="AL184" s="99">
        <f t="shared" si="34"/>
        <v>10</v>
      </c>
      <c r="AM184" s="149">
        <f t="shared" si="33"/>
        <v>2350620</v>
      </c>
      <c r="AN184" s="149" t="s">
        <v>657</v>
      </c>
    </row>
    <row r="185" spans="17:44">
      <c r="Q185" s="99"/>
      <c r="R185" s="95"/>
      <c r="AH185" s="149">
        <v>29</v>
      </c>
      <c r="AI185" s="149" t="s">
        <v>4674</v>
      </c>
      <c r="AJ185" s="191">
        <v>450000</v>
      </c>
      <c r="AK185" s="149">
        <v>0</v>
      </c>
      <c r="AL185" s="99">
        <f t="shared" si="34"/>
        <v>1</v>
      </c>
      <c r="AM185" s="149">
        <f t="shared" si="33"/>
        <v>450000</v>
      </c>
      <c r="AN185" s="149" t="s">
        <v>657</v>
      </c>
    </row>
    <row r="186" spans="17:44">
      <c r="Q186" s="99"/>
      <c r="R186" s="95"/>
      <c r="S186" t="s">
        <v>25</v>
      </c>
      <c r="AH186" s="20">
        <v>30</v>
      </c>
      <c r="AI186" s="20" t="s">
        <v>4674</v>
      </c>
      <c r="AJ186" s="117">
        <v>450000</v>
      </c>
      <c r="AK186" s="20">
        <v>1</v>
      </c>
      <c r="AL186" s="99">
        <f t="shared" si="34"/>
        <v>1</v>
      </c>
      <c r="AM186" s="20">
        <f t="shared" si="33"/>
        <v>450000</v>
      </c>
      <c r="AN186" s="20"/>
    </row>
    <row r="187" spans="17:44">
      <c r="Q187" s="99"/>
      <c r="R187" s="95">
        <f>SUM(R174:R184)</f>
        <v>277762759</v>
      </c>
      <c r="AH187" s="99"/>
      <c r="AI187" s="99"/>
      <c r="AJ187" s="117"/>
      <c r="AK187" s="99"/>
      <c r="AL187" s="99">
        <f t="shared" si="34"/>
        <v>0</v>
      </c>
      <c r="AM187" s="20">
        <f t="shared" si="33"/>
        <v>0</v>
      </c>
      <c r="AN187" s="99"/>
    </row>
    <row r="188" spans="17:44">
      <c r="Q188" s="99"/>
      <c r="R188" s="99" t="s">
        <v>6</v>
      </c>
      <c r="AH188" s="99"/>
      <c r="AI188" s="99"/>
      <c r="AJ188" s="117"/>
      <c r="AK188" s="99"/>
      <c r="AL188" s="99"/>
      <c r="AM188" s="99"/>
      <c r="AN188" s="99"/>
    </row>
    <row r="189" spans="17:44">
      <c r="AH189" s="99"/>
      <c r="AI189" s="99"/>
      <c r="AJ189" s="95">
        <f>SUM(AJ157:AJ188)</f>
        <v>28890174</v>
      </c>
      <c r="AK189" s="99"/>
      <c r="AL189" s="99"/>
      <c r="AM189" s="99">
        <f>SUM(AM157:AM188)</f>
        <v>3247955064</v>
      </c>
      <c r="AN189" s="95">
        <f>AM189*AN143/31</f>
        <v>2095454.8800000001</v>
      </c>
    </row>
    <row r="190" spans="17:44">
      <c r="T190" t="s">
        <v>25</v>
      </c>
      <c r="AJ190" t="s">
        <v>4060</v>
      </c>
      <c r="AM190" t="s">
        <v>284</v>
      </c>
      <c r="AN190" t="s">
        <v>943</v>
      </c>
    </row>
    <row r="191" spans="17:44">
      <c r="Q191" s="99" t="s">
        <v>452</v>
      </c>
      <c r="R191" s="99"/>
    </row>
    <row r="192" spans="17:44">
      <c r="Q192" s="99" t="s">
        <v>4451</v>
      </c>
      <c r="R192" s="95">
        <v>63115000</v>
      </c>
      <c r="T192" t="s">
        <v>25</v>
      </c>
      <c r="AI192" t="s">
        <v>4062</v>
      </c>
      <c r="AJ192" s="114">
        <f>AJ189+AN189</f>
        <v>30985628.879999999</v>
      </c>
    </row>
    <row r="193" spans="17:40">
      <c r="Q193" s="99" t="s">
        <v>4506</v>
      </c>
      <c r="R193" s="95">
        <v>13300000</v>
      </c>
      <c r="AI193" t="s">
        <v>4065</v>
      </c>
      <c r="AJ193" s="114">
        <f>SUM(N20:N29)</f>
        <v>28869788.099999998</v>
      </c>
    </row>
    <row r="194" spans="17:40">
      <c r="Q194" s="99" t="s">
        <v>4516</v>
      </c>
      <c r="R194" s="95">
        <v>2269000</v>
      </c>
      <c r="AI194" t="s">
        <v>4137</v>
      </c>
      <c r="AJ194" s="114">
        <f>AJ193-AJ189</f>
        <v>-20385.900000002235</v>
      </c>
    </row>
    <row r="195" spans="17:40">
      <c r="Q195" s="99" t="s">
        <v>4650</v>
      </c>
      <c r="R195" s="95">
        <v>25071612</v>
      </c>
      <c r="AI195" t="s">
        <v>943</v>
      </c>
      <c r="AJ195" s="114">
        <f>AN189</f>
        <v>2095454.8800000001</v>
      </c>
    </row>
    <row r="196" spans="17:40">
      <c r="Q196" s="99" t="s">
        <v>4671</v>
      </c>
      <c r="R196" s="95">
        <v>42236984</v>
      </c>
      <c r="T196" t="s">
        <v>25</v>
      </c>
      <c r="AI196" t="s">
        <v>4066</v>
      </c>
      <c r="AJ196" s="114">
        <f>AJ194-AJ195</f>
        <v>-2115840.7800000021</v>
      </c>
      <c r="AN196" t="s">
        <v>25</v>
      </c>
    </row>
    <row r="197" spans="17:40">
      <c r="Q197" s="99" t="s">
        <v>4674</v>
      </c>
      <c r="R197" s="95">
        <v>19663646</v>
      </c>
      <c r="AN197" t="s">
        <v>25</v>
      </c>
    </row>
    <row r="198" spans="17:40">
      <c r="Q198" s="99" t="s">
        <v>4707</v>
      </c>
      <c r="R198" s="95">
        <v>4374525</v>
      </c>
    </row>
    <row r="199" spans="17:40">
      <c r="Q199" s="99" t="s">
        <v>4723</v>
      </c>
      <c r="R199" s="95">
        <v>6550580</v>
      </c>
    </row>
    <row r="200" spans="17:40">
      <c r="Q200" s="99" t="s">
        <v>4727</v>
      </c>
      <c r="R200" s="95">
        <v>7054895</v>
      </c>
      <c r="T200" t="s">
        <v>25</v>
      </c>
    </row>
    <row r="201" spans="17:40">
      <c r="Q201" s="99"/>
      <c r="R201" s="95"/>
    </row>
    <row r="202" spans="17:40">
      <c r="Q202" s="99"/>
      <c r="R202" s="95"/>
    </row>
    <row r="203" spans="17:40">
      <c r="Q203" s="99"/>
      <c r="R203" s="95">
        <f>SUM(R192:R200)</f>
        <v>183636242</v>
      </c>
    </row>
    <row r="204" spans="17:40">
      <c r="Q204" s="99"/>
      <c r="R204" s="99" t="s">
        <v>6</v>
      </c>
      <c r="T204" t="s">
        <v>25</v>
      </c>
    </row>
  </sheetData>
  <mergeCells count="1">
    <mergeCell ref="J116:N116"/>
  </mergeCells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8 U129 S78 S85 S91:S93 S96 S99 S103:S104 S11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opLeftCell="K1" workbookViewId="0">
      <selection activeCell="AD15" sqref="AD15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  <c r="W1" s="169" t="s">
        <v>180</v>
      </c>
      <c r="X1" s="169" t="s">
        <v>4555</v>
      </c>
      <c r="Y1" s="169" t="s">
        <v>950</v>
      </c>
      <c r="Z1" s="169" t="s">
        <v>937</v>
      </c>
      <c r="AA1" s="169" t="s">
        <v>4555</v>
      </c>
      <c r="AB1" s="169" t="s">
        <v>950</v>
      </c>
      <c r="AC1" s="169" t="s">
        <v>937</v>
      </c>
      <c r="AD1" s="169" t="s">
        <v>4682</v>
      </c>
      <c r="AE1" s="169" t="s">
        <v>4683</v>
      </c>
    </row>
    <row r="2" spans="1:31">
      <c r="A2" s="99" t="s">
        <v>4244</v>
      </c>
      <c r="B2" s="207">
        <v>1707</v>
      </c>
      <c r="C2" s="209" t="s">
        <v>4637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  <c r="W2" s="169" t="s">
        <v>4545</v>
      </c>
      <c r="X2" s="169" t="s">
        <v>4297</v>
      </c>
      <c r="Y2" s="113">
        <v>281</v>
      </c>
      <c r="Z2" s="169">
        <v>15274</v>
      </c>
      <c r="AA2" s="169" t="s">
        <v>4244</v>
      </c>
      <c r="AB2" s="113">
        <v>165.5</v>
      </c>
      <c r="AC2" s="169">
        <f>Y2*Z2/AB2</f>
        <v>25933.498489425983</v>
      </c>
      <c r="AD2" s="169">
        <f t="shared" ref="AD2:AD10" si="0">Y2/AB2</f>
        <v>1.6978851963746224</v>
      </c>
      <c r="AE2" s="169">
        <f>AB2/Y2</f>
        <v>0.58896797153024916</v>
      </c>
    </row>
    <row r="3" spans="1:31">
      <c r="A3" s="99" t="s">
        <v>4608</v>
      </c>
      <c r="B3" s="207">
        <v>1184</v>
      </c>
      <c r="C3" s="209" t="s">
        <v>4615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  <c r="W3" s="169" t="s">
        <v>4544</v>
      </c>
      <c r="X3" s="169" t="s">
        <v>4297</v>
      </c>
      <c r="Y3" s="113">
        <v>289.3</v>
      </c>
      <c r="Z3" s="169">
        <v>14073</v>
      </c>
      <c r="AA3" s="169" t="s">
        <v>4244</v>
      </c>
      <c r="AB3" s="113">
        <v>166.2</v>
      </c>
      <c r="AC3" s="169">
        <f t="shared" ref="AC3:AC5" si="1">Y3*Z3/AB3</f>
        <v>24496.503610108306</v>
      </c>
      <c r="AD3" s="169">
        <f t="shared" si="0"/>
        <v>1.7406738868832734</v>
      </c>
      <c r="AE3" s="169">
        <f t="shared" ref="AE3:AE22" si="2">AB3/Y3</f>
        <v>0.57449014863463521</v>
      </c>
    </row>
    <row r="4" spans="1:31">
      <c r="A4" s="99" t="s">
        <v>4609</v>
      </c>
      <c r="B4" s="207">
        <v>1804</v>
      </c>
      <c r="C4" s="209" t="s">
        <v>4616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  <c r="W4" s="169" t="s">
        <v>4546</v>
      </c>
      <c r="X4" s="169" t="s">
        <v>4297</v>
      </c>
      <c r="Y4" s="113">
        <v>281</v>
      </c>
      <c r="Z4" s="169">
        <v>5000</v>
      </c>
      <c r="AA4" s="169" t="s">
        <v>4244</v>
      </c>
      <c r="AB4" s="113">
        <v>160.19999999999999</v>
      </c>
      <c r="AC4" s="169">
        <f t="shared" si="1"/>
        <v>8770.2871410736589</v>
      </c>
      <c r="AD4" s="169">
        <f t="shared" si="0"/>
        <v>1.7540574282147317</v>
      </c>
      <c r="AE4" s="169">
        <f t="shared" si="2"/>
        <v>0.57010676156583628</v>
      </c>
    </row>
    <row r="5" spans="1:31">
      <c r="A5" s="99"/>
      <c r="B5" s="207"/>
      <c r="C5" s="209"/>
      <c r="D5" s="99"/>
      <c r="J5" s="169">
        <v>4</v>
      </c>
      <c r="K5" s="169" t="s">
        <v>4644</v>
      </c>
      <c r="L5" s="113">
        <v>0</v>
      </c>
      <c r="M5" s="169">
        <v>3</v>
      </c>
      <c r="N5" s="113">
        <f t="shared" ref="N5" si="3">L5*M5</f>
        <v>0</v>
      </c>
      <c r="O5" s="99" t="s">
        <v>4649</v>
      </c>
      <c r="W5" s="169" t="s">
        <v>994</v>
      </c>
      <c r="X5" s="169" t="s">
        <v>4244</v>
      </c>
      <c r="Y5" s="113">
        <v>174.7</v>
      </c>
      <c r="Z5" s="169">
        <v>13356</v>
      </c>
      <c r="AA5" s="169" t="s">
        <v>4297</v>
      </c>
      <c r="AB5" s="113">
        <v>284.7</v>
      </c>
      <c r="AC5" s="169">
        <f t="shared" si="1"/>
        <v>8195.6206533192835</v>
      </c>
      <c r="AD5" s="169">
        <f t="shared" si="0"/>
        <v>0.61362838075166837</v>
      </c>
      <c r="AE5" s="169">
        <f t="shared" si="2"/>
        <v>1.629650829994276</v>
      </c>
    </row>
    <row r="6" spans="1:31">
      <c r="A6" s="99" t="s">
        <v>1086</v>
      </c>
      <c r="B6" s="207">
        <v>4060000</v>
      </c>
      <c r="C6" s="170">
        <v>4260000</v>
      </c>
      <c r="D6" s="99" t="s">
        <v>4510</v>
      </c>
      <c r="F6" t="s">
        <v>25</v>
      </c>
      <c r="G6" s="96"/>
      <c r="H6" s="96"/>
      <c r="I6" s="96"/>
      <c r="J6" s="169">
        <v>5</v>
      </c>
      <c r="K6" s="169" t="s">
        <v>4650</v>
      </c>
      <c r="L6" s="113">
        <v>4183832</v>
      </c>
      <c r="M6" s="169">
        <v>6</v>
      </c>
      <c r="N6" s="113">
        <v>25071612</v>
      </c>
      <c r="O6" s="99" t="s">
        <v>452</v>
      </c>
      <c r="P6" s="96"/>
      <c r="Q6" s="96"/>
      <c r="R6" s="96"/>
      <c r="S6" s="96"/>
      <c r="W6" s="169" t="s">
        <v>4658</v>
      </c>
      <c r="X6" s="169" t="s">
        <v>1086</v>
      </c>
      <c r="Y6" s="113">
        <v>4183832</v>
      </c>
      <c r="Z6" s="169">
        <f>AB6*AC6/Y6</f>
        <v>2.132843288162622</v>
      </c>
      <c r="AA6" s="169" t="s">
        <v>4397</v>
      </c>
      <c r="AB6" s="113">
        <v>3405.9</v>
      </c>
      <c r="AC6" s="169">
        <v>2620</v>
      </c>
      <c r="AD6" s="169">
        <f t="shared" si="0"/>
        <v>1228.4071757831998</v>
      </c>
      <c r="AE6" s="169">
        <f t="shared" si="2"/>
        <v>8.1406232372619174E-4</v>
      </c>
    </row>
    <row r="7" spans="1:31">
      <c r="A7" s="99" t="s">
        <v>4581</v>
      </c>
      <c r="B7" s="207">
        <v>1689</v>
      </c>
      <c r="C7" s="170"/>
      <c r="D7" s="99"/>
      <c r="F7" s="114">
        <v>0</v>
      </c>
      <c r="G7" s="96"/>
      <c r="H7" s="96"/>
      <c r="I7" s="96"/>
      <c r="J7" s="169">
        <v>6</v>
      </c>
      <c r="K7" s="169" t="s">
        <v>4658</v>
      </c>
      <c r="L7" s="113">
        <v>4186993</v>
      </c>
      <c r="M7" s="169">
        <v>4</v>
      </c>
      <c r="N7" s="113">
        <v>16727037</v>
      </c>
      <c r="O7" s="99" t="s">
        <v>751</v>
      </c>
      <c r="P7" s="96"/>
      <c r="Q7" s="96"/>
      <c r="R7" s="96"/>
      <c r="S7" s="96"/>
      <c r="W7" s="169" t="s">
        <v>4658</v>
      </c>
      <c r="X7" s="169" t="s">
        <v>1086</v>
      </c>
      <c r="Y7" s="113">
        <v>4183832</v>
      </c>
      <c r="Z7" s="169">
        <f t="shared" ref="Z7:Z22" si="4">AB7*AC7/Y7</f>
        <v>0.23816682887840621</v>
      </c>
      <c r="AA7" s="169" t="s">
        <v>4661</v>
      </c>
      <c r="AB7" s="113">
        <v>455</v>
      </c>
      <c r="AC7" s="169">
        <v>2190</v>
      </c>
      <c r="AD7" s="169">
        <f t="shared" si="0"/>
        <v>9195.2351648351651</v>
      </c>
      <c r="AE7" s="169">
        <f t="shared" si="2"/>
        <v>1.0875197665680648E-4</v>
      </c>
    </row>
    <row r="8" spans="1:31">
      <c r="A8" s="99" t="s">
        <v>4552</v>
      </c>
      <c r="B8" s="207">
        <v>3414</v>
      </c>
      <c r="C8" s="170">
        <v>3622</v>
      </c>
      <c r="D8" s="99"/>
      <c r="F8">
        <v>0</v>
      </c>
      <c r="G8" s="96"/>
      <c r="H8" s="96"/>
      <c r="I8" s="96"/>
      <c r="J8" s="169">
        <v>7</v>
      </c>
      <c r="K8" s="169" t="s">
        <v>4671</v>
      </c>
      <c r="L8" s="113">
        <v>4223698</v>
      </c>
      <c r="M8" s="169">
        <v>10</v>
      </c>
      <c r="N8" s="113">
        <v>42236984</v>
      </c>
      <c r="O8" s="99" t="s">
        <v>452</v>
      </c>
      <c r="P8" s="96"/>
      <c r="Q8" s="96"/>
      <c r="R8" s="96"/>
      <c r="S8" s="96"/>
      <c r="W8" s="169" t="s">
        <v>4658</v>
      </c>
      <c r="X8" s="169" t="s">
        <v>1086</v>
      </c>
      <c r="Y8" s="113">
        <v>4183832</v>
      </c>
      <c r="Z8" s="169">
        <f t="shared" si="4"/>
        <v>0.24415416297786335</v>
      </c>
      <c r="AA8" s="169" t="s">
        <v>4662</v>
      </c>
      <c r="AB8" s="113">
        <v>408.6</v>
      </c>
      <c r="AC8" s="169">
        <v>2500</v>
      </c>
      <c r="AD8" s="169">
        <f t="shared" si="0"/>
        <v>10239.432207537933</v>
      </c>
      <c r="AE8" s="169">
        <f t="shared" si="2"/>
        <v>9.7661665191145342E-5</v>
      </c>
    </row>
    <row r="9" spans="1:31">
      <c r="A9" s="99" t="s">
        <v>4602</v>
      </c>
      <c r="B9" s="207">
        <v>1174</v>
      </c>
      <c r="C9" s="170" t="s">
        <v>25</v>
      </c>
      <c r="D9" s="99"/>
      <c r="F9">
        <v>0</v>
      </c>
      <c r="G9" s="96"/>
      <c r="H9" s="96"/>
      <c r="I9" s="96"/>
      <c r="J9" s="169">
        <v>8</v>
      </c>
      <c r="K9" s="169" t="s">
        <v>4671</v>
      </c>
      <c r="L9" s="113">
        <v>4223698</v>
      </c>
      <c r="M9" s="169">
        <v>11</v>
      </c>
      <c r="N9" s="113">
        <v>46460683</v>
      </c>
      <c r="O9" s="99" t="s">
        <v>751</v>
      </c>
      <c r="P9" s="96"/>
      <c r="Q9" s="96"/>
      <c r="R9" s="96"/>
      <c r="S9" s="96"/>
      <c r="W9" s="169" t="s">
        <v>4658</v>
      </c>
      <c r="X9" s="169" t="s">
        <v>1086</v>
      </c>
      <c r="Y9" s="113">
        <v>4183832</v>
      </c>
      <c r="Z9" s="169">
        <f t="shared" si="4"/>
        <v>0.23385260211213069</v>
      </c>
      <c r="AA9" s="169" t="s">
        <v>4648</v>
      </c>
      <c r="AB9" s="113">
        <v>122.3</v>
      </c>
      <c r="AC9" s="169">
        <v>8000</v>
      </c>
      <c r="AD9" s="169">
        <f t="shared" si="0"/>
        <v>34209.582992641044</v>
      </c>
      <c r="AE9" s="169">
        <f t="shared" si="2"/>
        <v>2.9231575264016336E-5</v>
      </c>
    </row>
    <row r="10" spans="1:31">
      <c r="A10" s="99" t="s">
        <v>4416</v>
      </c>
      <c r="B10" s="207">
        <v>472</v>
      </c>
      <c r="C10" s="170">
        <v>540</v>
      </c>
      <c r="D10" s="99"/>
      <c r="F10">
        <v>0</v>
      </c>
      <c r="G10" s="96"/>
      <c r="H10" s="96"/>
      <c r="I10" s="96"/>
      <c r="J10" s="169">
        <v>9</v>
      </c>
      <c r="K10" s="169" t="s">
        <v>4674</v>
      </c>
      <c r="L10" s="113">
        <f>N10/M10</f>
        <v>4369699.111111111</v>
      </c>
      <c r="M10" s="169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9" t="s">
        <v>4658</v>
      </c>
      <c r="X10" s="169" t="s">
        <v>1086</v>
      </c>
      <c r="Y10" s="113">
        <v>4183832</v>
      </c>
      <c r="Z10" s="169">
        <f t="shared" si="4"/>
        <v>0.24118578375039915</v>
      </c>
      <c r="AA10" s="169" t="s">
        <v>4663</v>
      </c>
      <c r="AB10" s="113">
        <v>217.1</v>
      </c>
      <c r="AC10" s="169">
        <v>4648</v>
      </c>
      <c r="AD10" s="169">
        <f t="shared" si="0"/>
        <v>19271.450944265314</v>
      </c>
      <c r="AE10" s="169">
        <f t="shared" si="2"/>
        <v>5.1890228861961954E-5</v>
      </c>
    </row>
    <row r="11" spans="1:31">
      <c r="A11" s="99"/>
      <c r="B11" s="207"/>
      <c r="C11" s="170"/>
      <c r="D11" s="99"/>
      <c r="F11" s="114">
        <v>0</v>
      </c>
      <c r="G11" s="96"/>
      <c r="H11" s="96"/>
      <c r="I11" s="96"/>
      <c r="J11" s="169">
        <v>10</v>
      </c>
      <c r="K11" s="169" t="s">
        <v>4674</v>
      </c>
      <c r="L11" s="113">
        <f>N11/M11</f>
        <v>4369699.111111111</v>
      </c>
      <c r="M11" s="169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9" t="s">
        <v>4658</v>
      </c>
      <c r="X11" s="169" t="s">
        <v>1086</v>
      </c>
      <c r="Y11" s="113">
        <v>4183832</v>
      </c>
      <c r="Z11" s="169">
        <f t="shared" si="4"/>
        <v>3.2966189847011065</v>
      </c>
      <c r="AA11" s="216" t="s">
        <v>4551</v>
      </c>
      <c r="AB11" s="113">
        <v>4500</v>
      </c>
      <c r="AC11" s="169">
        <v>3065</v>
      </c>
      <c r="AD11" s="216">
        <f t="shared" ref="AD11:AD18" si="5">Y11/AB11</f>
        <v>929.74044444444439</v>
      </c>
      <c r="AE11" s="169">
        <f t="shared" si="2"/>
        <v>1.0755689999024818E-3</v>
      </c>
    </row>
    <row r="12" spans="1:31">
      <c r="A12" s="99" t="s">
        <v>4571</v>
      </c>
      <c r="B12" s="207">
        <v>-42268</v>
      </c>
      <c r="C12" s="170"/>
      <c r="D12" s="59" t="s">
        <v>4745</v>
      </c>
      <c r="F12" s="114">
        <v>0</v>
      </c>
      <c r="G12" t="s">
        <v>25</v>
      </c>
      <c r="J12" s="169">
        <v>11</v>
      </c>
      <c r="K12" s="169" t="s">
        <v>4707</v>
      </c>
      <c r="L12" s="113">
        <v>4374525</v>
      </c>
      <c r="M12" s="169">
        <v>1</v>
      </c>
      <c r="N12" s="113">
        <v>4374525</v>
      </c>
      <c r="O12" s="99" t="s">
        <v>751</v>
      </c>
      <c r="P12" s="96"/>
      <c r="Q12" s="96"/>
      <c r="R12" s="96"/>
      <c r="S12" s="96"/>
      <c r="W12" s="169" t="s">
        <v>4671</v>
      </c>
      <c r="X12" s="169" t="s">
        <v>1086</v>
      </c>
      <c r="Y12" s="113">
        <v>4186993</v>
      </c>
      <c r="Z12" s="169">
        <f t="shared" si="4"/>
        <v>0.95852522323299805</v>
      </c>
      <c r="AA12" s="19" t="s">
        <v>4397</v>
      </c>
      <c r="AB12" s="113">
        <v>3322.3</v>
      </c>
      <c r="AC12" s="169">
        <v>1208</v>
      </c>
      <c r="AD12" s="19">
        <f t="shared" si="5"/>
        <v>1260.2693916864821</v>
      </c>
      <c r="AE12" s="169">
        <f t="shared" si="2"/>
        <v>7.934811450604288E-4</v>
      </c>
    </row>
    <row r="13" spans="1:31">
      <c r="A13" s="99"/>
      <c r="B13" s="207"/>
      <c r="C13" s="170"/>
      <c r="D13" s="99"/>
      <c r="F13" s="114">
        <v>0</v>
      </c>
      <c r="J13" s="169">
        <v>12</v>
      </c>
      <c r="K13" s="169" t="s">
        <v>4707</v>
      </c>
      <c r="L13" s="113">
        <v>4374525</v>
      </c>
      <c r="M13" s="169">
        <v>1</v>
      </c>
      <c r="N13" s="113">
        <v>4374525</v>
      </c>
      <c r="O13" s="99" t="s">
        <v>452</v>
      </c>
      <c r="P13" s="96"/>
      <c r="Q13" s="96"/>
      <c r="R13" s="96"/>
      <c r="S13" s="96"/>
      <c r="W13" s="169" t="s">
        <v>4671</v>
      </c>
      <c r="X13" s="169" t="s">
        <v>1086</v>
      </c>
      <c r="Y13" s="113">
        <v>4186993</v>
      </c>
      <c r="Z13" s="169">
        <f t="shared" si="4"/>
        <v>3.0092622557525175</v>
      </c>
      <c r="AA13" s="169" t="s">
        <v>4401</v>
      </c>
      <c r="AB13" s="113">
        <v>5249.9</v>
      </c>
      <c r="AC13" s="169">
        <v>2400</v>
      </c>
      <c r="AD13" s="169">
        <f t="shared" si="5"/>
        <v>797.53766738414072</v>
      </c>
      <c r="AE13" s="169">
        <f t="shared" si="2"/>
        <v>1.2538592732302155E-3</v>
      </c>
    </row>
    <row r="14" spans="1:31">
      <c r="A14" s="99"/>
      <c r="B14" s="207"/>
      <c r="C14" s="170"/>
      <c r="D14" s="99"/>
      <c r="F14" s="114">
        <v>0</v>
      </c>
      <c r="J14" s="169">
        <v>13</v>
      </c>
      <c r="K14" s="169" t="s">
        <v>4723</v>
      </c>
      <c r="L14" s="170">
        <v>4367053</v>
      </c>
      <c r="M14" s="169">
        <v>1.5</v>
      </c>
      <c r="N14" s="113">
        <v>6550580</v>
      </c>
      <c r="O14" s="99" t="s">
        <v>751</v>
      </c>
      <c r="W14" s="169" t="s">
        <v>4674</v>
      </c>
      <c r="X14" s="169" t="s">
        <v>1086</v>
      </c>
      <c r="Y14" s="113">
        <v>4223698</v>
      </c>
      <c r="Z14" s="169">
        <f t="shared" si="4"/>
        <v>11.463347995050782</v>
      </c>
      <c r="AA14" s="169" t="s">
        <v>4401</v>
      </c>
      <c r="AB14" s="113">
        <v>5330</v>
      </c>
      <c r="AC14" s="169">
        <v>9084</v>
      </c>
      <c r="AD14" s="169">
        <f t="shared" si="5"/>
        <v>792.43864915572237</v>
      </c>
      <c r="AE14" s="169">
        <f t="shared" si="2"/>
        <v>1.2619273442372064E-3</v>
      </c>
    </row>
    <row r="15" spans="1:31">
      <c r="A15" s="99"/>
      <c r="B15" s="207"/>
      <c r="C15" s="170"/>
      <c r="D15" s="99"/>
      <c r="F15" s="114">
        <f>B12+F7+F8+F9+F10+F11+F12+F13+F14</f>
        <v>-42268</v>
      </c>
      <c r="J15" s="169">
        <v>14</v>
      </c>
      <c r="K15" s="169" t="s">
        <v>4723</v>
      </c>
      <c r="L15" s="170">
        <v>4367053</v>
      </c>
      <c r="M15" s="169">
        <v>1.5</v>
      </c>
      <c r="N15" s="113">
        <v>6550580</v>
      </c>
      <c r="O15" s="99" t="s">
        <v>452</v>
      </c>
      <c r="W15" s="169" t="s">
        <v>4674</v>
      </c>
      <c r="X15" s="169" t="s">
        <v>1086</v>
      </c>
      <c r="Y15" s="113">
        <v>4223698</v>
      </c>
      <c r="Z15" s="169">
        <f t="shared" si="4"/>
        <v>9.4380816762940896</v>
      </c>
      <c r="AA15" s="19" t="s">
        <v>4416</v>
      </c>
      <c r="AB15" s="113">
        <v>498.9</v>
      </c>
      <c r="AC15" s="169">
        <v>79903</v>
      </c>
      <c r="AD15" s="19">
        <f t="shared" si="5"/>
        <v>8466.0212467428355</v>
      </c>
      <c r="AE15" s="169">
        <f t="shared" si="2"/>
        <v>1.1811924053282217E-4</v>
      </c>
    </row>
    <row r="16" spans="1:31">
      <c r="A16" s="99"/>
      <c r="B16" s="207"/>
      <c r="C16" s="170"/>
      <c r="D16" s="99"/>
      <c r="J16" s="217">
        <v>15</v>
      </c>
      <c r="K16" s="217" t="s">
        <v>4727</v>
      </c>
      <c r="L16" s="170">
        <v>4433930</v>
      </c>
      <c r="M16" s="217">
        <v>1.5</v>
      </c>
      <c r="N16" s="113">
        <f>L16*M16</f>
        <v>6650895</v>
      </c>
      <c r="O16" s="99" t="s">
        <v>751</v>
      </c>
      <c r="W16" s="169" t="s">
        <v>4691</v>
      </c>
      <c r="X16" s="169" t="s">
        <v>1086</v>
      </c>
      <c r="Y16" s="113">
        <v>4369699</v>
      </c>
      <c r="Z16" s="169">
        <f t="shared" si="4"/>
        <v>0.22790475957268452</v>
      </c>
      <c r="AA16" s="169" t="s">
        <v>4639</v>
      </c>
      <c r="AB16" s="113">
        <v>724.8</v>
      </c>
      <c r="AC16" s="169">
        <v>1374</v>
      </c>
      <c r="AD16" s="169">
        <f t="shared" si="5"/>
        <v>6028.8341611479036</v>
      </c>
      <c r="AE16" s="169">
        <f t="shared" si="2"/>
        <v>1.6586954845173546E-4</v>
      </c>
    </row>
    <row r="17" spans="1:31">
      <c r="A17" s="99"/>
      <c r="J17" s="217">
        <v>16</v>
      </c>
      <c r="K17" s="217" t="s">
        <v>4727</v>
      </c>
      <c r="L17" s="170">
        <v>4433930</v>
      </c>
      <c r="M17" s="217">
        <v>1.5</v>
      </c>
      <c r="N17" s="113">
        <f>L17*M17</f>
        <v>6650895</v>
      </c>
      <c r="O17" s="99" t="s">
        <v>452</v>
      </c>
      <c r="W17" s="169" t="s">
        <v>4691</v>
      </c>
      <c r="X17" s="169" t="s">
        <v>1086</v>
      </c>
      <c r="Y17" s="113">
        <v>4369699</v>
      </c>
      <c r="Z17" s="169">
        <f t="shared" si="4"/>
        <v>8.608136716052984</v>
      </c>
      <c r="AA17" s="19" t="s">
        <v>4401</v>
      </c>
      <c r="AB17" s="113">
        <v>5393.6</v>
      </c>
      <c r="AC17" s="169">
        <v>6974</v>
      </c>
      <c r="AD17" s="19">
        <f t="shared" si="5"/>
        <v>810.16371254820524</v>
      </c>
      <c r="AE17" s="169">
        <f t="shared" si="2"/>
        <v>1.2343184278825613E-3</v>
      </c>
    </row>
    <row r="18" spans="1:31">
      <c r="A18" s="99"/>
      <c r="B18" s="207">
        <v>3965000</v>
      </c>
      <c r="C18" s="170"/>
      <c r="D18" s="99" t="s">
        <v>4498</v>
      </c>
      <c r="J18" s="169"/>
      <c r="K18" s="169"/>
      <c r="L18" s="113"/>
      <c r="M18" s="169"/>
      <c r="N18" s="113"/>
      <c r="O18" s="99"/>
      <c r="W18" s="169" t="s">
        <v>4713</v>
      </c>
      <c r="X18" s="169" t="s">
        <v>1086</v>
      </c>
      <c r="Y18" s="113">
        <v>4374000</v>
      </c>
      <c r="Z18" s="169">
        <f t="shared" si="4"/>
        <v>2.0343806584362141</v>
      </c>
      <c r="AA18" s="5" t="s">
        <v>4401</v>
      </c>
      <c r="AB18" s="117">
        <v>5179.5</v>
      </c>
      <c r="AC18" s="19">
        <v>1718</v>
      </c>
      <c r="AD18" s="5">
        <f t="shared" si="5"/>
        <v>844.48305821025201</v>
      </c>
      <c r="AE18" s="169">
        <f t="shared" si="2"/>
        <v>1.184156378600823E-3</v>
      </c>
    </row>
    <row r="19" spans="1:31">
      <c r="A19" s="99"/>
      <c r="B19" s="207">
        <v>3880000</v>
      </c>
      <c r="C19" s="170"/>
      <c r="D19" s="99" t="s">
        <v>4505</v>
      </c>
      <c r="J19" s="169"/>
      <c r="K19" s="169"/>
      <c r="L19" s="113" t="s">
        <v>25</v>
      </c>
      <c r="M19" s="169"/>
      <c r="N19" s="113"/>
      <c r="O19" s="99"/>
      <c r="R19" t="s">
        <v>25</v>
      </c>
      <c r="T19" t="s">
        <v>25</v>
      </c>
      <c r="W19" s="169" t="s">
        <v>4727</v>
      </c>
      <c r="X19" s="169" t="s">
        <v>1086</v>
      </c>
      <c r="Y19" s="113">
        <v>4367053</v>
      </c>
      <c r="Z19" s="169">
        <f t="shared" si="4"/>
        <v>2.1370469055447687</v>
      </c>
      <c r="AA19" s="19" t="s">
        <v>4397</v>
      </c>
      <c r="AB19" s="117">
        <v>3184.1</v>
      </c>
      <c r="AC19" s="19">
        <v>2931</v>
      </c>
      <c r="AD19" s="19">
        <f>Y19/AB19</f>
        <v>1371.5187965202099</v>
      </c>
      <c r="AE19" s="169">
        <f t="shared" si="2"/>
        <v>7.291186985823163E-4</v>
      </c>
    </row>
    <row r="20" spans="1:31">
      <c r="A20" s="99" t="s">
        <v>4511</v>
      </c>
      <c r="B20" s="208"/>
      <c r="C20" s="170">
        <v>3894000</v>
      </c>
      <c r="D20" s="99" t="s">
        <v>4506</v>
      </c>
      <c r="J20" s="169"/>
      <c r="K20" s="169"/>
      <c r="L20" s="169"/>
      <c r="M20" s="169">
        <f>SUM(M2:M19)</f>
        <v>67</v>
      </c>
      <c r="N20" s="113">
        <f>SUM(N2:N17)</f>
        <v>269835608</v>
      </c>
      <c r="O20" s="99"/>
      <c r="W20" s="219" t="s">
        <v>4727</v>
      </c>
      <c r="X20" s="219" t="s">
        <v>1086</v>
      </c>
      <c r="Y20" s="113">
        <v>4367053</v>
      </c>
      <c r="Z20" s="219">
        <f t="shared" si="4"/>
        <v>0.12751793944337292</v>
      </c>
      <c r="AA20" s="19" t="s">
        <v>4416</v>
      </c>
      <c r="AB20" s="117">
        <v>508.1</v>
      </c>
      <c r="AC20" s="19">
        <v>1096</v>
      </c>
      <c r="AD20" s="19">
        <f>Y20/AB20</f>
        <v>8594.8691202519185</v>
      </c>
      <c r="AE20" s="219">
        <f t="shared" si="2"/>
        <v>1.1634848489358842E-4</v>
      </c>
    </row>
    <row r="21" spans="1:31">
      <c r="A21" s="99"/>
      <c r="B21" s="207"/>
      <c r="C21" s="170">
        <v>3845000</v>
      </c>
      <c r="D21" s="99" t="s">
        <v>4506</v>
      </c>
      <c r="J21" s="169"/>
      <c r="K21" s="169"/>
      <c r="L21" s="169"/>
      <c r="M21" s="169" t="s">
        <v>6</v>
      </c>
      <c r="N21" s="169"/>
      <c r="O21" s="99"/>
      <c r="W21" s="169" t="s">
        <v>4762</v>
      </c>
      <c r="X21" s="169" t="s">
        <v>1086</v>
      </c>
      <c r="Y21" s="113">
        <v>4433930</v>
      </c>
      <c r="Z21" s="169">
        <f t="shared" si="4"/>
        <v>2.9409688470499082</v>
      </c>
      <c r="AA21" s="195" t="s">
        <v>4397</v>
      </c>
      <c r="AB21" s="117">
        <v>3180.5</v>
      </c>
      <c r="AC21" s="19">
        <v>4100</v>
      </c>
      <c r="AD21" s="195">
        <f t="shared" ref="AD21:AD25" si="6">Y21/AB21</f>
        <v>1394.0984121993397</v>
      </c>
      <c r="AE21" s="169">
        <f t="shared" si="2"/>
        <v>7.1730947489022151E-4</v>
      </c>
    </row>
    <row r="22" spans="1:31">
      <c r="A22" s="99"/>
      <c r="B22" s="207"/>
      <c r="C22" s="170">
        <v>3845000</v>
      </c>
      <c r="D22" s="99" t="s">
        <v>4506</v>
      </c>
      <c r="M22" s="113">
        <f>N20/M20</f>
        <v>4027397.1343283583</v>
      </c>
      <c r="W22" s="169" t="s">
        <v>4762</v>
      </c>
      <c r="X22" s="169" t="s">
        <v>1086</v>
      </c>
      <c r="Y22" s="113">
        <v>4433930</v>
      </c>
      <c r="Z22" s="169">
        <f t="shared" si="4"/>
        <v>0.13984559972755545</v>
      </c>
      <c r="AA22" s="215" t="s">
        <v>4416</v>
      </c>
      <c r="AB22" s="117">
        <v>503.3</v>
      </c>
      <c r="AC22" s="19">
        <v>1232</v>
      </c>
      <c r="AD22" s="215">
        <f t="shared" si="6"/>
        <v>8809.7158752235246</v>
      </c>
      <c r="AE22" s="169">
        <f t="shared" si="2"/>
        <v>1.1351103873989892E-4</v>
      </c>
    </row>
    <row r="23" spans="1:31">
      <c r="A23" s="99"/>
      <c r="B23" s="207"/>
      <c r="C23" s="170">
        <v>3845000</v>
      </c>
      <c r="D23" s="99" t="s">
        <v>4506</v>
      </c>
      <c r="M23" s="41" t="s">
        <v>4537</v>
      </c>
      <c r="N23" t="s">
        <v>25</v>
      </c>
      <c r="W23" s="169"/>
      <c r="X23" s="169"/>
      <c r="Y23" s="113"/>
      <c r="Z23" s="169"/>
      <c r="AA23" s="19"/>
      <c r="AB23" s="117"/>
      <c r="AC23" s="19"/>
      <c r="AD23" s="19" t="e">
        <f t="shared" si="6"/>
        <v>#DIV/0!</v>
      </c>
      <c r="AE23" s="169"/>
    </row>
    <row r="24" spans="1:31">
      <c r="A24" s="99" t="s">
        <v>4513</v>
      </c>
      <c r="B24" s="207">
        <v>4020000</v>
      </c>
      <c r="C24" s="170">
        <v>30000</v>
      </c>
      <c r="D24" s="99" t="s">
        <v>4510</v>
      </c>
      <c r="W24" s="169"/>
      <c r="X24" s="169"/>
      <c r="Y24" s="113"/>
      <c r="Z24" s="169"/>
      <c r="AA24" s="19"/>
      <c r="AB24" s="117"/>
      <c r="AC24" s="19"/>
      <c r="AD24" s="19" t="e">
        <f t="shared" si="6"/>
        <v>#DIV/0!</v>
      </c>
      <c r="AE24" s="169"/>
    </row>
    <row r="25" spans="1:31">
      <c r="A25" s="99"/>
      <c r="B25" s="207">
        <v>3915000</v>
      </c>
      <c r="C25" s="170"/>
      <c r="D25" s="99" t="s">
        <v>4512</v>
      </c>
      <c r="W25" s="169"/>
      <c r="X25" s="169"/>
      <c r="Y25" s="113"/>
      <c r="Z25" s="169"/>
      <c r="AA25" s="169"/>
      <c r="AB25" s="113"/>
      <c r="AC25" s="169"/>
      <c r="AD25" s="19" t="e">
        <f t="shared" si="6"/>
        <v>#DIV/0!</v>
      </c>
      <c r="AE25" s="169"/>
    </row>
    <row r="26" spans="1:31">
      <c r="A26" s="99"/>
      <c r="B26" s="207">
        <v>3821000</v>
      </c>
      <c r="C26" s="170"/>
      <c r="D26" s="99" t="s">
        <v>4516</v>
      </c>
      <c r="L26">
        <f>140-M20</f>
        <v>73</v>
      </c>
      <c r="M26">
        <f>75-M2-M4-M5-M7-M9-M10-M12-M14-M16</f>
        <v>36.5</v>
      </c>
      <c r="N26" t="s">
        <v>483</v>
      </c>
      <c r="O26" t="s">
        <v>4747</v>
      </c>
      <c r="AC26" t="s">
        <v>25</v>
      </c>
    </row>
    <row r="27" spans="1:31">
      <c r="A27" s="99"/>
      <c r="B27" s="207"/>
      <c r="C27" s="170"/>
      <c r="D27" s="99" t="s">
        <v>4525</v>
      </c>
      <c r="M27">
        <f>65-M3-M6-M8-M11-M13-M15-M17</f>
        <v>36.5</v>
      </c>
      <c r="N27" t="s">
        <v>5</v>
      </c>
    </row>
    <row r="28" spans="1:31">
      <c r="A28" s="99" t="s">
        <v>4547</v>
      </c>
      <c r="B28" s="207"/>
      <c r="C28" s="170">
        <v>3421299</v>
      </c>
      <c r="D28" s="99" t="s">
        <v>4232</v>
      </c>
      <c r="W28" s="96"/>
      <c r="X28" s="96"/>
      <c r="Y28" s="96"/>
      <c r="Z28" s="96"/>
      <c r="AA28" s="96"/>
      <c r="AB28" s="96"/>
      <c r="AC28" s="96"/>
      <c r="AD28" s="96"/>
    </row>
    <row r="29" spans="1:31">
      <c r="A29" s="99" t="s">
        <v>4576</v>
      </c>
      <c r="B29" s="207"/>
      <c r="C29" s="170">
        <v>3490000</v>
      </c>
      <c r="D29" s="99" t="s">
        <v>4232</v>
      </c>
      <c r="W29" s="170"/>
      <c r="X29" s="219"/>
      <c r="Y29" s="219"/>
      <c r="Z29" s="219"/>
      <c r="AA29" s="219"/>
      <c r="AB29" s="99"/>
      <c r="AC29" s="32"/>
      <c r="AD29" s="32"/>
    </row>
    <row r="30" spans="1:31">
      <c r="A30" s="99" t="s">
        <v>4577</v>
      </c>
      <c r="B30" s="207"/>
      <c r="C30" s="170">
        <v>271000</v>
      </c>
      <c r="D30" s="99" t="s">
        <v>4573</v>
      </c>
      <c r="W30" s="170"/>
      <c r="X30" s="219"/>
      <c r="Y30" s="219"/>
      <c r="Z30" s="219"/>
      <c r="AA30" s="219"/>
      <c r="AB30" s="99"/>
      <c r="AC30" s="32"/>
      <c r="AD30" s="32"/>
    </row>
    <row r="31" spans="1:31">
      <c r="A31" s="99" t="s">
        <v>4586</v>
      </c>
      <c r="B31" s="207"/>
      <c r="C31" s="170">
        <v>69700</v>
      </c>
      <c r="D31" s="99" t="s">
        <v>4578</v>
      </c>
      <c r="K31" s="169" t="s">
        <v>4548</v>
      </c>
      <c r="L31" s="169" t="s">
        <v>1086</v>
      </c>
      <c r="M31" s="169" t="s">
        <v>4244</v>
      </c>
      <c r="N31" s="169" t="s">
        <v>4565</v>
      </c>
      <c r="O31" s="169"/>
      <c r="AA31" s="96"/>
      <c r="AB31" s="96"/>
      <c r="AC31" s="96"/>
      <c r="AD31" s="96"/>
    </row>
    <row r="32" spans="1:31">
      <c r="A32" s="99"/>
      <c r="B32" s="207"/>
      <c r="C32" s="170"/>
      <c r="D32" s="99"/>
      <c r="K32" s="169" t="s">
        <v>4536</v>
      </c>
      <c r="L32" s="169">
        <v>3390000</v>
      </c>
      <c r="M32" s="169">
        <v>161.4</v>
      </c>
      <c r="N32" s="169">
        <f>L32/M32</f>
        <v>21003.717472118959</v>
      </c>
      <c r="O32" s="169"/>
      <c r="Z32" t="s">
        <v>25</v>
      </c>
      <c r="AA32" s="96"/>
      <c r="AB32" s="96"/>
      <c r="AC32" s="96"/>
      <c r="AD32" s="96"/>
    </row>
    <row r="33" spans="1:30">
      <c r="A33" s="99"/>
      <c r="B33" s="207"/>
      <c r="C33" s="170"/>
      <c r="D33" s="99"/>
      <c r="K33" s="169"/>
      <c r="L33" s="169"/>
      <c r="M33" s="169"/>
      <c r="N33" s="169"/>
      <c r="O33" s="169"/>
      <c r="AA33" s="96"/>
      <c r="AB33" s="96"/>
      <c r="AC33" s="96"/>
      <c r="AD33" s="96"/>
    </row>
    <row r="34" spans="1:30">
      <c r="A34" s="99"/>
      <c r="B34" s="207"/>
      <c r="C34" s="170"/>
      <c r="D34" s="99"/>
      <c r="I34" t="s">
        <v>25</v>
      </c>
      <c r="K34" s="169"/>
      <c r="L34" s="169"/>
      <c r="M34" s="169"/>
      <c r="N34" s="169"/>
      <c r="O34" s="169"/>
      <c r="AA34" s="96"/>
      <c r="AB34" s="96"/>
      <c r="AC34" s="96"/>
      <c r="AD34" s="96"/>
    </row>
    <row r="35" spans="1:30">
      <c r="A35" s="99"/>
      <c r="B35" s="170"/>
      <c r="C35" s="170"/>
      <c r="D35" s="99"/>
      <c r="K35" s="169"/>
      <c r="L35" s="169"/>
      <c r="M35" s="169"/>
      <c r="N35" s="169"/>
      <c r="O35" s="169"/>
      <c r="AA35" s="96"/>
      <c r="AB35" s="96"/>
      <c r="AC35" s="96"/>
      <c r="AD35" s="96"/>
    </row>
    <row r="36" spans="1:30">
      <c r="B36" s="58"/>
      <c r="C36" s="58"/>
      <c r="D36" s="115"/>
      <c r="K36" s="169"/>
      <c r="L36" s="169"/>
      <c r="M36" s="169"/>
      <c r="N36" s="169"/>
      <c r="O36" s="169"/>
      <c r="AA36" s="96"/>
      <c r="AB36" s="96"/>
      <c r="AC36" s="96"/>
      <c r="AD36" s="96"/>
    </row>
    <row r="37" spans="1:30">
      <c r="B37" t="s">
        <v>25</v>
      </c>
      <c r="K37" s="169"/>
      <c r="L37" s="169"/>
      <c r="M37" s="169"/>
      <c r="N37" s="169"/>
      <c r="O37" s="169"/>
      <c r="AA37" s="96"/>
      <c r="AB37" s="96"/>
      <c r="AC37" s="96"/>
      <c r="AD37" s="96"/>
    </row>
    <row r="38" spans="1:30">
      <c r="B38" s="114">
        <f>SUM(C18:C35)-SUM(B18:B35)</f>
        <v>3109999</v>
      </c>
      <c r="C38" t="s">
        <v>916</v>
      </c>
      <c r="K38" s="169"/>
      <c r="L38" s="169"/>
      <c r="M38" s="169"/>
      <c r="N38" s="169"/>
      <c r="O38" s="169"/>
      <c r="W38" s="96"/>
      <c r="X38" s="96"/>
      <c r="Y38" s="96"/>
      <c r="Z38" s="96"/>
      <c r="AA38" s="96"/>
      <c r="AB38" s="96"/>
      <c r="AC38" s="96"/>
      <c r="AD38" s="96"/>
    </row>
    <row r="39" spans="1:30">
      <c r="K39" s="169"/>
      <c r="L39" s="169"/>
      <c r="M39" s="169"/>
      <c r="N39" s="169"/>
      <c r="O39" s="169"/>
      <c r="W39" s="96"/>
      <c r="X39" s="96"/>
      <c r="Y39" s="96"/>
      <c r="Z39" s="96" t="s">
        <v>4700</v>
      </c>
      <c r="AA39" s="96"/>
      <c r="AB39" s="96"/>
      <c r="AC39" s="96"/>
      <c r="AD39" s="96"/>
    </row>
    <row r="40" spans="1:30">
      <c r="W40" s="96"/>
      <c r="X40" s="96"/>
      <c r="Y40" s="96"/>
      <c r="Z40" s="96" t="s">
        <v>4701</v>
      </c>
      <c r="AA40" s="214">
        <v>35441</v>
      </c>
      <c r="AB40" s="96"/>
      <c r="AC40" s="96"/>
      <c r="AD40" s="96"/>
    </row>
    <row r="41" spans="1:30" ht="120">
      <c r="W41" s="96"/>
      <c r="X41" s="22" t="s">
        <v>4704</v>
      </c>
      <c r="Y41" s="22" t="s">
        <v>4703</v>
      </c>
      <c r="Z41" s="22" t="s">
        <v>4702</v>
      </c>
      <c r="AA41" s="22" t="s">
        <v>4706</v>
      </c>
    </row>
    <row r="44" spans="1:30">
      <c r="I44" s="41"/>
    </row>
    <row r="52" spans="10:13">
      <c r="J52" s="41"/>
      <c r="K52" s="41"/>
      <c r="L52" s="41"/>
      <c r="M52" s="41"/>
    </row>
    <row r="55" spans="10:13">
      <c r="L55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4555</v>
      </c>
      <c r="Z2" s="99" t="s">
        <v>4623</v>
      </c>
      <c r="AA2" s="99" t="s">
        <v>4621</v>
      </c>
      <c r="AB2" s="99" t="s">
        <v>4622</v>
      </c>
      <c r="AC2" s="99" t="s">
        <v>4625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4627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70">
        <v>104</v>
      </c>
      <c r="D4" s="99">
        <v>-20000</v>
      </c>
      <c r="E4" s="99">
        <f t="shared" ref="E4:E24" si="1">E3+D4</f>
        <v>960000</v>
      </c>
      <c r="F4" s="170">
        <f t="shared" ref="F4:F24" si="2">-C4*D4*(1-IF(D4&lt;0,$O$1,$O$2))</f>
        <v>2066896</v>
      </c>
      <c r="G4" s="170">
        <f t="shared" ref="G4:G24" si="3">ABS(C4*D4*IF(D4&lt;0,$O$1,$O$2))</f>
        <v>13104</v>
      </c>
      <c r="Y4" s="99" t="s">
        <v>4624</v>
      </c>
      <c r="Z4" s="99">
        <v>1</v>
      </c>
      <c r="AA4" s="99">
        <v>1</v>
      </c>
      <c r="AB4" s="99">
        <f t="shared" si="0"/>
        <v>1</v>
      </c>
      <c r="AC4" s="99" t="s">
        <v>4626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70">
        <v>102</v>
      </c>
      <c r="D5" s="99">
        <v>20000</v>
      </c>
      <c r="E5" s="99">
        <f t="shared" si="1"/>
        <v>980000</v>
      </c>
      <c r="F5" s="170">
        <f t="shared" si="2"/>
        <v>-2030004</v>
      </c>
      <c r="G5" s="170">
        <f t="shared" si="3"/>
        <v>9996</v>
      </c>
      <c r="Y5" s="99" t="s">
        <v>4608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70">
        <v>100</v>
      </c>
      <c r="D6" s="99">
        <v>20000</v>
      </c>
      <c r="E6" s="99">
        <f t="shared" si="1"/>
        <v>1000000</v>
      </c>
      <c r="F6" s="170">
        <f t="shared" si="2"/>
        <v>-1990200</v>
      </c>
      <c r="G6" s="170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70">
        <v>98</v>
      </c>
      <c r="D7" s="99">
        <v>20000</v>
      </c>
      <c r="E7" s="99">
        <f t="shared" si="1"/>
        <v>1020000</v>
      </c>
      <c r="F7" s="170">
        <f t="shared" si="2"/>
        <v>-1950396</v>
      </c>
      <c r="G7" s="170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70">
        <v>96</v>
      </c>
      <c r="D8" s="99">
        <v>20000</v>
      </c>
      <c r="E8" s="99">
        <f t="shared" si="1"/>
        <v>1040000</v>
      </c>
      <c r="F8" s="170">
        <f t="shared" si="2"/>
        <v>-1910592</v>
      </c>
      <c r="G8" s="170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70">
        <v>98</v>
      </c>
      <c r="D9" s="99">
        <v>-20000</v>
      </c>
      <c r="E9" s="99">
        <f t="shared" si="1"/>
        <v>1020000</v>
      </c>
      <c r="F9" s="170">
        <f t="shared" si="2"/>
        <v>1947652</v>
      </c>
      <c r="G9" s="170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70">
        <v>96</v>
      </c>
      <c r="D10" s="99">
        <v>20000</v>
      </c>
      <c r="E10" s="99">
        <f t="shared" si="1"/>
        <v>1040000</v>
      </c>
      <c r="F10" s="170">
        <f t="shared" si="2"/>
        <v>-1910592</v>
      </c>
      <c r="G10" s="170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70">
        <v>98</v>
      </c>
      <c r="D11" s="99">
        <v>-20000</v>
      </c>
      <c r="E11" s="99">
        <f t="shared" si="1"/>
        <v>1020000</v>
      </c>
      <c r="F11" s="170">
        <f t="shared" si="2"/>
        <v>1947652</v>
      </c>
      <c r="G11" s="170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70">
        <v>100</v>
      </c>
      <c r="D12" s="99">
        <v>-20000</v>
      </c>
      <c r="E12" s="99">
        <f t="shared" si="1"/>
        <v>1000000</v>
      </c>
      <c r="F12" s="170">
        <f t="shared" si="2"/>
        <v>1987400</v>
      </c>
      <c r="G12" s="170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70">
        <v>102</v>
      </c>
      <c r="D13" s="99">
        <v>-20000</v>
      </c>
      <c r="E13" s="99">
        <f t="shared" si="1"/>
        <v>980000</v>
      </c>
      <c r="F13" s="170">
        <f t="shared" si="2"/>
        <v>2027148</v>
      </c>
      <c r="G13" s="170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70">
        <v>104</v>
      </c>
      <c r="D14" s="99">
        <v>-20000</v>
      </c>
      <c r="E14" s="99">
        <f t="shared" si="1"/>
        <v>960000</v>
      </c>
      <c r="F14" s="170">
        <f t="shared" si="2"/>
        <v>2066896</v>
      </c>
      <c r="G14" s="170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70">
        <v>102</v>
      </c>
      <c r="D15" s="99">
        <v>20000</v>
      </c>
      <c r="E15" s="99">
        <f t="shared" si="1"/>
        <v>980000</v>
      </c>
      <c r="F15" s="170">
        <f t="shared" si="2"/>
        <v>-2030004</v>
      </c>
      <c r="G15" s="170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70">
        <v>100</v>
      </c>
      <c r="D16" s="99">
        <v>20000</v>
      </c>
      <c r="E16" s="99">
        <f t="shared" si="1"/>
        <v>1000000</v>
      </c>
      <c r="F16" s="170">
        <f t="shared" si="2"/>
        <v>-1990200</v>
      </c>
      <c r="G16" s="170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1"/>
        <v>980000</v>
      </c>
      <c r="F17" s="170">
        <f t="shared" si="2"/>
        <v>2027148</v>
      </c>
      <c r="G17" s="170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1"/>
        <v>960000</v>
      </c>
      <c r="F18" s="170">
        <f t="shared" si="2"/>
        <v>2066896</v>
      </c>
      <c r="G18" s="170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1"/>
        <v>940000</v>
      </c>
      <c r="F19" s="170">
        <f t="shared" si="2"/>
        <v>2106644</v>
      </c>
      <c r="G19" s="170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1"/>
        <v>920000</v>
      </c>
      <c r="F20" s="170">
        <f t="shared" si="2"/>
        <v>2146392</v>
      </c>
      <c r="G20" s="170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1"/>
        <v>940000</v>
      </c>
      <c r="F21" s="170">
        <f t="shared" si="2"/>
        <v>-2109612</v>
      </c>
      <c r="G21" s="170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1"/>
        <v>960000</v>
      </c>
      <c r="F22" s="170">
        <f t="shared" si="2"/>
        <v>-2069808</v>
      </c>
      <c r="G22" s="170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1"/>
        <v>980000</v>
      </c>
      <c r="F23" s="170">
        <f t="shared" si="2"/>
        <v>-2030004</v>
      </c>
      <c r="G23" s="170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1"/>
        <v>1000000</v>
      </c>
      <c r="F24" s="170">
        <f t="shared" si="2"/>
        <v>-1990200</v>
      </c>
      <c r="G24" s="170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2019-01-30T07:47:48Z</dcterms:modified>
</cp:coreProperties>
</file>